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bara\Documents\"/>
    </mc:Choice>
  </mc:AlternateContent>
  <bookViews>
    <workbookView xWindow="0" yWindow="0" windowWidth="20400" windowHeight="7470"/>
  </bookViews>
  <sheets>
    <sheet name="Sheet1" sheetId="1" r:id="rId1"/>
  </sheets>
  <definedNames>
    <definedName name="_xlnm.Print_Area" localSheetId="0">Sheet1!$A$1:$H$235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E15" i="1" l="1"/>
  <c r="E18" i="1" l="1"/>
  <c r="E125" i="1" l="1"/>
  <c r="E155" i="1"/>
  <c r="E123" i="1"/>
  <c r="E102" i="1"/>
  <c r="E122" i="1"/>
  <c r="E65" i="1"/>
  <c r="E60" i="1"/>
  <c r="E59" i="1"/>
  <c r="E57" i="1"/>
  <c r="E55" i="1"/>
  <c r="E32" i="1"/>
  <c r="E12" i="1"/>
  <c r="E14" i="1"/>
  <c r="G119" i="1" l="1"/>
  <c r="G223" i="1" l="1"/>
  <c r="G216" i="1"/>
  <c r="G209" i="1"/>
  <c r="G198" i="1"/>
  <c r="G194" i="1"/>
  <c r="G180" i="1"/>
  <c r="G218" i="1" s="1"/>
  <c r="G151" i="1"/>
  <c r="G116" i="1"/>
  <c r="G213" i="1" s="1"/>
  <c r="G227" i="1" s="1"/>
  <c r="G75" i="1"/>
  <c r="G20" i="1"/>
  <c r="G201" i="1" s="1"/>
  <c r="G230" i="1" s="1"/>
  <c r="G204" i="1"/>
  <c r="G233" i="1" l="1"/>
  <c r="G232" i="1"/>
  <c r="G217" i="1"/>
  <c r="G203" i="1"/>
  <c r="G196" i="1"/>
  <c r="G199" i="1"/>
  <c r="G127" i="1"/>
  <c r="G214" i="1" s="1"/>
  <c r="G228" i="1" s="1"/>
  <c r="G105" i="1" l="1"/>
  <c r="G211" i="1" s="1"/>
  <c r="G225" i="1" s="1"/>
  <c r="G162" i="1"/>
  <c r="G33" i="1"/>
  <c r="G202" i="1" l="1"/>
  <c r="G212" i="1"/>
  <c r="G197" i="1"/>
  <c r="G226" i="1" s="1"/>
  <c r="G193" i="1"/>
  <c r="E62" i="1"/>
  <c r="G135" i="1" l="1"/>
  <c r="G215" i="1" s="1"/>
  <c r="G229" i="1" s="1"/>
  <c r="G200" i="1"/>
  <c r="G90" i="1"/>
  <c r="G210" i="1" s="1"/>
  <c r="G84" i="1"/>
  <c r="G80" i="1"/>
  <c r="G68" i="1"/>
  <c r="G13" i="1"/>
  <c r="G40" i="1" s="1"/>
  <c r="G195" i="1" l="1"/>
  <c r="G208" i="1"/>
  <c r="G182" i="1"/>
  <c r="E78" i="1"/>
  <c r="E113" i="1"/>
  <c r="E73" i="1"/>
  <c r="E158" i="1"/>
  <c r="E161" i="1"/>
  <c r="E71" i="1"/>
  <c r="E103" i="1"/>
  <c r="E61" i="1"/>
  <c r="E110" i="1"/>
  <c r="G205" i="1" l="1"/>
  <c r="G224" i="1"/>
  <c r="G222" i="1"/>
  <c r="G234" i="1" s="1"/>
  <c r="G219" i="1"/>
  <c r="E63" i="1"/>
  <c r="E58" i="1"/>
  <c r="E29" i="1"/>
  <c r="E68" i="1" l="1"/>
  <c r="E7" i="1"/>
  <c r="E26" i="1"/>
  <c r="E33" i="1"/>
  <c r="E23" i="1"/>
  <c r="E88" i="1" l="1"/>
  <c r="E173" i="1"/>
  <c r="E9" i="1" l="1"/>
  <c r="B217" i="1" l="1"/>
  <c r="B215" i="1"/>
  <c r="C212" i="1"/>
  <c r="B212" i="1"/>
  <c r="B209" i="1"/>
  <c r="C202" i="1"/>
  <c r="C231" i="1" s="1"/>
  <c r="B202" i="1"/>
  <c r="B231" i="1" s="1"/>
  <c r="C200" i="1"/>
  <c r="B200" i="1"/>
  <c r="C199" i="1"/>
  <c r="B199" i="1"/>
  <c r="C198" i="1"/>
  <c r="B198" i="1"/>
  <c r="C197" i="1"/>
  <c r="C226" i="1" s="1"/>
  <c r="B197" i="1"/>
  <c r="B226" i="1" s="1"/>
  <c r="C196" i="1"/>
  <c r="B196" i="1"/>
  <c r="C194" i="1"/>
  <c r="B194" i="1"/>
  <c r="B223" i="1" s="1"/>
  <c r="C193" i="1"/>
  <c r="B193" i="1"/>
  <c r="C180" i="1"/>
  <c r="C218" i="1" s="1"/>
  <c r="B180" i="1"/>
  <c r="B218" i="1" s="1"/>
  <c r="C162" i="1"/>
  <c r="C217" i="1" s="1"/>
  <c r="B162" i="1"/>
  <c r="C151" i="1"/>
  <c r="C216" i="1" s="1"/>
  <c r="B151" i="1"/>
  <c r="B216" i="1" s="1"/>
  <c r="C135" i="1"/>
  <c r="C215" i="1" s="1"/>
  <c r="B135" i="1"/>
  <c r="C127" i="1"/>
  <c r="C214" i="1" s="1"/>
  <c r="C228" i="1" s="1"/>
  <c r="B127" i="1"/>
  <c r="B214" i="1" s="1"/>
  <c r="B228" i="1" s="1"/>
  <c r="C116" i="1"/>
  <c r="C213" i="1" s="1"/>
  <c r="B116" i="1"/>
  <c r="B213" i="1" s="1"/>
  <c r="C105" i="1"/>
  <c r="C211" i="1" s="1"/>
  <c r="B105" i="1"/>
  <c r="B211" i="1" s="1"/>
  <c r="C84" i="1"/>
  <c r="B84" i="1"/>
  <c r="C81" i="1"/>
  <c r="C80" i="1"/>
  <c r="B80" i="1"/>
  <c r="B90" i="1" s="1"/>
  <c r="B210" i="1" s="1"/>
  <c r="C75" i="1"/>
  <c r="C209" i="1" s="1"/>
  <c r="B75" i="1"/>
  <c r="B68" i="1"/>
  <c r="C67" i="1"/>
  <c r="C68" i="1" s="1"/>
  <c r="C208" i="1" s="1"/>
  <c r="C39" i="1"/>
  <c r="C204" i="1" s="1"/>
  <c r="C233" i="1" s="1"/>
  <c r="B39" i="1"/>
  <c r="B204" i="1" s="1"/>
  <c r="C33" i="1"/>
  <c r="C203" i="1" s="1"/>
  <c r="B33" i="1"/>
  <c r="B203" i="1" s="1"/>
  <c r="B232" i="1" s="1"/>
  <c r="C20" i="1"/>
  <c r="C201" i="1" s="1"/>
  <c r="C230" i="1" s="1"/>
  <c r="B20" i="1"/>
  <c r="B201" i="1" s="1"/>
  <c r="C13" i="1"/>
  <c r="B13" i="1"/>
  <c r="B40" i="1" s="1"/>
  <c r="C225" i="1" l="1"/>
  <c r="B182" i="1"/>
  <c r="B225" i="1"/>
  <c r="B227" i="1"/>
  <c r="B229" i="1"/>
  <c r="C222" i="1"/>
  <c r="C227" i="1"/>
  <c r="C229" i="1"/>
  <c r="C232" i="1"/>
  <c r="B230" i="1"/>
  <c r="B233" i="1"/>
  <c r="C90" i="1"/>
  <c r="C210" i="1" s="1"/>
  <c r="C219" i="1" s="1"/>
  <c r="B195" i="1"/>
  <c r="B224" i="1" s="1"/>
  <c r="B208" i="1"/>
  <c r="B205" i="1"/>
  <c r="C40" i="1"/>
  <c r="C195" i="1"/>
  <c r="C223" i="1"/>
  <c r="D39" i="1"/>
  <c r="H125" i="1"/>
  <c r="C182" i="1" l="1"/>
  <c r="C224" i="1"/>
  <c r="B219" i="1"/>
  <c r="B222" i="1"/>
  <c r="B234" i="1" s="1"/>
  <c r="C205" i="1"/>
  <c r="C234" i="1"/>
  <c r="E74" i="1"/>
  <c r="H23" i="1" l="1"/>
  <c r="H104" i="1"/>
  <c r="H15" i="1" l="1"/>
  <c r="E212" i="1" l="1"/>
  <c r="D212" i="1"/>
  <c r="H212" i="1" s="1"/>
  <c r="D204" i="1"/>
  <c r="E200" i="1"/>
  <c r="D200" i="1"/>
  <c r="E199" i="1"/>
  <c r="D199" i="1"/>
  <c r="E198" i="1"/>
  <c r="D198" i="1"/>
  <c r="E197" i="1"/>
  <c r="D197" i="1"/>
  <c r="D226" i="1" s="1"/>
  <c r="E196" i="1"/>
  <c r="D196" i="1"/>
  <c r="E194" i="1"/>
  <c r="D194" i="1"/>
  <c r="E193" i="1"/>
  <c r="D193" i="1"/>
  <c r="E180" i="1"/>
  <c r="E218" i="1" s="1"/>
  <c r="H179" i="1"/>
  <c r="H178" i="1"/>
  <c r="H177" i="1"/>
  <c r="H176" i="1"/>
  <c r="H175" i="1"/>
  <c r="H174" i="1"/>
  <c r="H173" i="1"/>
  <c r="H172" i="1"/>
  <c r="D180" i="1"/>
  <c r="D218" i="1" s="1"/>
  <c r="H170" i="1"/>
  <c r="H169" i="1"/>
  <c r="H168" i="1"/>
  <c r="H167" i="1"/>
  <c r="H166" i="1"/>
  <c r="H165" i="1"/>
  <c r="E162" i="1"/>
  <c r="E217" i="1" s="1"/>
  <c r="D162" i="1"/>
  <c r="D217" i="1" s="1"/>
  <c r="H161" i="1"/>
  <c r="H160" i="1"/>
  <c r="H159" i="1"/>
  <c r="H158" i="1"/>
  <c r="H157" i="1"/>
  <c r="H156" i="1"/>
  <c r="H155" i="1"/>
  <c r="H154" i="1"/>
  <c r="E151" i="1"/>
  <c r="E216" i="1" s="1"/>
  <c r="D151" i="1"/>
  <c r="H150" i="1"/>
  <c r="H149" i="1"/>
  <c r="H148" i="1"/>
  <c r="H147" i="1"/>
  <c r="E135" i="1"/>
  <c r="E215" i="1" s="1"/>
  <c r="D135" i="1"/>
  <c r="H134" i="1"/>
  <c r="H133" i="1"/>
  <c r="H132" i="1"/>
  <c r="H131" i="1"/>
  <c r="H130" i="1"/>
  <c r="D127" i="1"/>
  <c r="H126" i="1"/>
  <c r="H124" i="1"/>
  <c r="H123" i="1"/>
  <c r="E127" i="1"/>
  <c r="E214" i="1" s="1"/>
  <c r="H121" i="1"/>
  <c r="H120" i="1"/>
  <c r="H119" i="1"/>
  <c r="D116" i="1"/>
  <c r="D213" i="1" s="1"/>
  <c r="D227" i="1" s="1"/>
  <c r="H115" i="1"/>
  <c r="H114" i="1"/>
  <c r="H113" i="1"/>
  <c r="H112" i="1"/>
  <c r="H111" i="1"/>
  <c r="H107" i="1"/>
  <c r="E105" i="1"/>
  <c r="E211" i="1" s="1"/>
  <c r="D103" i="1"/>
  <c r="H103" i="1" s="1"/>
  <c r="H102" i="1"/>
  <c r="H101" i="1"/>
  <c r="H100" i="1"/>
  <c r="H89" i="1"/>
  <c r="H88" i="1"/>
  <c r="H87" i="1"/>
  <c r="H86" i="1"/>
  <c r="H85" i="1"/>
  <c r="E84" i="1"/>
  <c r="D84" i="1"/>
  <c r="H83" i="1"/>
  <c r="H82" i="1"/>
  <c r="H81" i="1"/>
  <c r="E80" i="1"/>
  <c r="E90" i="1" s="1"/>
  <c r="E210" i="1" s="1"/>
  <c r="D80" i="1"/>
  <c r="H79" i="1"/>
  <c r="H78" i="1"/>
  <c r="D75" i="1"/>
  <c r="D209" i="1" s="1"/>
  <c r="H74" i="1"/>
  <c r="H73" i="1"/>
  <c r="H72" i="1"/>
  <c r="H71" i="1"/>
  <c r="D68" i="1"/>
  <c r="H67" i="1"/>
  <c r="H66" i="1"/>
  <c r="H65" i="1"/>
  <c r="H64" i="1"/>
  <c r="H62" i="1"/>
  <c r="H61" i="1"/>
  <c r="H60" i="1"/>
  <c r="H59" i="1"/>
  <c r="H57" i="1"/>
  <c r="H56" i="1"/>
  <c r="H54" i="1"/>
  <c r="D40" i="1"/>
  <c r="E39" i="1"/>
  <c r="D33" i="1"/>
  <c r="D203" i="1" s="1"/>
  <c r="H32" i="1"/>
  <c r="H31" i="1"/>
  <c r="H30" i="1"/>
  <c r="H29" i="1"/>
  <c r="H28" i="1"/>
  <c r="H27" i="1"/>
  <c r="H26" i="1"/>
  <c r="H25" i="1"/>
  <c r="H22" i="1"/>
  <c r="H21" i="1"/>
  <c r="E20" i="1"/>
  <c r="E201" i="1" s="1"/>
  <c r="D20" i="1"/>
  <c r="D201" i="1" s="1"/>
  <c r="H19" i="1"/>
  <c r="H18" i="1"/>
  <c r="H16" i="1"/>
  <c r="H14" i="1"/>
  <c r="E13" i="1"/>
  <c r="D13" i="1"/>
  <c r="D195" i="1" s="1"/>
  <c r="H12" i="1"/>
  <c r="H11" i="1"/>
  <c r="H10" i="1"/>
  <c r="H9" i="1"/>
  <c r="H7" i="1"/>
  <c r="H6" i="1"/>
  <c r="H84" i="1" l="1"/>
  <c r="E40" i="1"/>
  <c r="H39" i="1"/>
  <c r="H199" i="1"/>
  <c r="E203" i="1"/>
  <c r="E232" i="1" s="1"/>
  <c r="H80" i="1"/>
  <c r="H217" i="1"/>
  <c r="E228" i="1"/>
  <c r="H122" i="1"/>
  <c r="E225" i="1"/>
  <c r="H33" i="1"/>
  <c r="D105" i="1"/>
  <c r="H105" i="1" s="1"/>
  <c r="H180" i="1"/>
  <c r="E204" i="1"/>
  <c r="E233" i="1" s="1"/>
  <c r="H135" i="1"/>
  <c r="D215" i="1"/>
  <c r="H215" i="1" s="1"/>
  <c r="E202" i="1"/>
  <c r="D214" i="1"/>
  <c r="H214" i="1" s="1"/>
  <c r="H127" i="1"/>
  <c r="E230" i="1"/>
  <c r="H201" i="1"/>
  <c r="H20" i="1"/>
  <c r="H55" i="1"/>
  <c r="H151" i="1"/>
  <c r="D216" i="1"/>
  <c r="H216" i="1" s="1"/>
  <c r="H162" i="1"/>
  <c r="H171" i="1"/>
  <c r="D205" i="1"/>
  <c r="H194" i="1"/>
  <c r="H198" i="1"/>
  <c r="D232" i="1"/>
  <c r="D208" i="1"/>
  <c r="E116" i="1"/>
  <c r="E213" i="1" s="1"/>
  <c r="E227" i="1" s="1"/>
  <c r="H227" i="1" s="1"/>
  <c r="H110" i="1"/>
  <c r="D233" i="1"/>
  <c r="H218" i="1"/>
  <c r="E195" i="1"/>
  <c r="H13" i="1"/>
  <c r="H75" i="1"/>
  <c r="D90" i="1"/>
  <c r="D182" i="1" s="1"/>
  <c r="H193" i="1"/>
  <c r="E226" i="1"/>
  <c r="H226" i="1" s="1"/>
  <c r="H197" i="1"/>
  <c r="E229" i="1"/>
  <c r="D223" i="1"/>
  <c r="E75" i="1"/>
  <c r="E209" i="1" s="1"/>
  <c r="E223" i="1" s="1"/>
  <c r="H196" i="1"/>
  <c r="H200" i="1"/>
  <c r="E231" i="1" l="1"/>
  <c r="H231" i="1" s="1"/>
  <c r="H202" i="1"/>
  <c r="H233" i="1"/>
  <c r="E208" i="1"/>
  <c r="E219" i="1" s="1"/>
  <c r="E182" i="1"/>
  <c r="H182" i="1" s="1"/>
  <c r="H203" i="1"/>
  <c r="D211" i="1"/>
  <c r="H211" i="1" s="1"/>
  <c r="H40" i="1"/>
  <c r="H223" i="1"/>
  <c r="H68" i="1"/>
  <c r="D230" i="1"/>
  <c r="H230" i="1" s="1"/>
  <c r="H204" i="1"/>
  <c r="H232" i="1"/>
  <c r="H195" i="1"/>
  <c r="E224" i="1"/>
  <c r="H209" i="1"/>
  <c r="D228" i="1"/>
  <c r="H228" i="1" s="1"/>
  <c r="H213" i="1"/>
  <c r="E205" i="1"/>
  <c r="H205" i="1" s="1"/>
  <c r="D222" i="1"/>
  <c r="D210" i="1"/>
  <c r="H90" i="1"/>
  <c r="H116" i="1"/>
  <c r="D225" i="1"/>
  <c r="H225" i="1" s="1"/>
  <c r="D229" i="1"/>
  <c r="H229" i="1" s="1"/>
  <c r="E222" i="1" l="1"/>
  <c r="E234" i="1" s="1"/>
  <c r="H208" i="1"/>
  <c r="D219" i="1"/>
  <c r="H219" i="1"/>
  <c r="H210" i="1"/>
  <c r="D224" i="1"/>
  <c r="D234" i="1" s="1"/>
  <c r="H222" i="1" l="1"/>
  <c r="H224" i="1"/>
  <c r="H234" i="1" l="1"/>
</calcChain>
</file>

<file path=xl/comments1.xml><?xml version="1.0" encoding="utf-8"?>
<comments xmlns="http://schemas.openxmlformats.org/spreadsheetml/2006/main">
  <authors>
    <author>Barbara Stemmer</author>
  </authors>
  <commentList>
    <comment ref="E15" authorId="0" shapeId="0">
      <text>
        <r>
          <rPr>
            <b/>
            <sz val="10"/>
            <color indexed="81"/>
            <rFont val="Tahoma"/>
            <family val="2"/>
          </rPr>
          <t>Barbara Stemmer:</t>
        </r>
        <r>
          <rPr>
            <sz val="10"/>
            <color indexed="81"/>
            <rFont val="Tahoma"/>
            <family val="2"/>
          </rPr>
          <t xml:space="preserve">
incls 4,843.50 JPMorgan
+26,662.59</t>
        </r>
      </text>
    </comment>
    <comment ref="G15" authorId="0" shapeId="0">
      <text>
        <r>
          <rPr>
            <b/>
            <sz val="10"/>
            <color indexed="81"/>
            <rFont val="Tahoma"/>
            <charset val="1"/>
          </rPr>
          <t>Barbara Stemmer:</t>
        </r>
        <r>
          <rPr>
            <sz val="10"/>
            <color indexed="81"/>
            <rFont val="Tahoma"/>
            <charset val="1"/>
          </rPr>
          <t xml:space="preserve">
31k JPMorgan+1.4k mo GS                      </t>
        </r>
      </text>
    </comment>
    <comment ref="E23" authorId="0" shapeId="0">
      <text>
        <r>
          <rPr>
            <b/>
            <sz val="10"/>
            <color indexed="81"/>
            <rFont val="Tahoma"/>
            <family val="2"/>
          </rPr>
          <t>Barbara Stemmer:</t>
        </r>
        <r>
          <rPr>
            <sz val="10"/>
            <color indexed="81"/>
            <rFont val="Tahoma"/>
            <family val="2"/>
          </rPr>
          <t xml:space="preserve">
icls 50k Mary Lang</t>
        </r>
      </text>
    </comment>
  </commentList>
</comments>
</file>

<file path=xl/sharedStrings.xml><?xml version="1.0" encoding="utf-8"?>
<sst xmlns="http://schemas.openxmlformats.org/spreadsheetml/2006/main" count="261" uniqueCount="140">
  <si>
    <t>2020-2021</t>
  </si>
  <si>
    <t>Diff. Between</t>
  </si>
  <si>
    <t>Budget</t>
  </si>
  <si>
    <t>Actual</t>
  </si>
  <si>
    <t>Actual and Budget</t>
  </si>
  <si>
    <t>INCOME</t>
  </si>
  <si>
    <t>Admin Contributions</t>
  </si>
  <si>
    <t>Club Day</t>
  </si>
  <si>
    <t>Community Services</t>
  </si>
  <si>
    <t>Food Closet</t>
  </si>
  <si>
    <t>Holiday Meals</t>
  </si>
  <si>
    <t xml:space="preserve">Other </t>
  </si>
  <si>
    <t>Scholarships</t>
  </si>
  <si>
    <t>Total Community Services</t>
  </si>
  <si>
    <t>Curio Cottage</t>
  </si>
  <si>
    <t>Investment Income</t>
  </si>
  <si>
    <t>Membership</t>
  </si>
  <si>
    <t>Rentals</t>
  </si>
  <si>
    <t>Community Rentals</t>
  </si>
  <si>
    <t>CT Braille</t>
  </si>
  <si>
    <t>Total Rentals</t>
  </si>
  <si>
    <t>Grounds</t>
  </si>
  <si>
    <t>House (Schnurmacher Grant)</t>
  </si>
  <si>
    <t>Undesignated Donations</t>
  </si>
  <si>
    <t>Ways &amp; Means</t>
  </si>
  <si>
    <t>Clothing Sale</t>
  </si>
  <si>
    <t>Starry Night Concert</t>
  </si>
  <si>
    <t>Fashion Show</t>
  </si>
  <si>
    <t>Art Show</t>
  </si>
  <si>
    <t>Painting with a Twist</t>
  </si>
  <si>
    <t>Antiques Appraisal</t>
  </si>
  <si>
    <t>Nonrecurring Fundraiser</t>
  </si>
  <si>
    <t>Total Ways &amp; Means</t>
  </si>
  <si>
    <t>YDF</t>
  </si>
  <si>
    <t>Bridgewater Special Event</t>
  </si>
  <si>
    <t>Rides/Raffle/Booths/Vendors</t>
  </si>
  <si>
    <t>Sponsors</t>
  </si>
  <si>
    <t>Donations</t>
  </si>
  <si>
    <t>Total YDF</t>
  </si>
  <si>
    <t>TOTAL INCOME</t>
  </si>
  <si>
    <t>EXPENSES</t>
  </si>
  <si>
    <t>Administrative</t>
  </si>
  <si>
    <t>Auditor</t>
  </si>
  <si>
    <t>Communication &amp; Publicity &amp; Website</t>
  </si>
  <si>
    <t>Website annual cost</t>
  </si>
  <si>
    <t>Miscellaneous (bank charges)</t>
  </si>
  <si>
    <t>Insurance (O&amp;D, Workman's Comp)</t>
  </si>
  <si>
    <t>Office Supplies</t>
  </si>
  <si>
    <t>Permit/Business Filings</t>
  </si>
  <si>
    <t>Repairs and Maintenance</t>
  </si>
  <si>
    <t>Salary</t>
  </si>
  <si>
    <t>Payroll Taxes</t>
  </si>
  <si>
    <t>?</t>
  </si>
  <si>
    <t>Payroll Processing</t>
  </si>
  <si>
    <t>Postage</t>
  </si>
  <si>
    <t>Printing</t>
  </si>
  <si>
    <t>Misc/ Casual Labor (Sarah)</t>
  </si>
  <si>
    <t>Total Administrative</t>
  </si>
  <si>
    <t>Caterer</t>
  </si>
  <si>
    <t>Entertainment</t>
  </si>
  <si>
    <t>Linens and supplies</t>
  </si>
  <si>
    <t>Sales Tax</t>
  </si>
  <si>
    <t>Total Club Day</t>
  </si>
  <si>
    <t>Food Closet Supplies</t>
  </si>
  <si>
    <t>Food Closet-GiftCard Donations</t>
  </si>
  <si>
    <t>Total Food Closet</t>
  </si>
  <si>
    <t>Holiday Meals-GiftCard Donations</t>
  </si>
  <si>
    <t>Holiday Meals Caterer</t>
  </si>
  <si>
    <t>Holiday Meals/Canal Park Lunch/Supplies</t>
  </si>
  <si>
    <t>Total Holiday Meals &amp; Canal Park</t>
  </si>
  <si>
    <t>Community Grants</t>
  </si>
  <si>
    <t>Ruegg Grant</t>
  </si>
  <si>
    <t>Grants expenses &amp; Supplies</t>
  </si>
  <si>
    <t>Scholarship expenses</t>
  </si>
  <si>
    <t>Comm. &amp; Publicity</t>
  </si>
  <si>
    <t>Repairs &amp; Maintenance</t>
  </si>
  <si>
    <t>Supplies</t>
  </si>
  <si>
    <t>Total Curio Cottage</t>
  </si>
  <si>
    <t>Investment Management Fees</t>
  </si>
  <si>
    <t>Grounds Expenses</t>
  </si>
  <si>
    <t>Bldg &amp; Grounds Maintenance</t>
  </si>
  <si>
    <t>Rubbish Removal</t>
  </si>
  <si>
    <t>Supplies/Plants</t>
  </si>
  <si>
    <t>Special Projects</t>
  </si>
  <si>
    <t>Total Grounds Expenses</t>
  </si>
  <si>
    <t>House Expenses</t>
  </si>
  <si>
    <t>Insurance (Liability &amp; Umbrella)</t>
  </si>
  <si>
    <t>Apartment</t>
  </si>
  <si>
    <t>Storm Damage/Repair</t>
  </si>
  <si>
    <t>Other</t>
  </si>
  <si>
    <t>Casual Labor</t>
  </si>
  <si>
    <t>Total House Expenses</t>
  </si>
  <si>
    <t>Membership Expenses</t>
  </si>
  <si>
    <t>Total Membership</t>
  </si>
  <si>
    <t>Rentals Expenses</t>
  </si>
  <si>
    <t>Telephone</t>
  </si>
  <si>
    <t>Total Rentals Expense</t>
  </si>
  <si>
    <t>Ways &amp; Means Expenses</t>
  </si>
  <si>
    <t>Insurance</t>
  </si>
  <si>
    <t>Communications &amp; Publicity</t>
  </si>
  <si>
    <t>Direct Expense Rides/police/fire</t>
  </si>
  <si>
    <t>Raffle</t>
  </si>
  <si>
    <t>Permit Fees</t>
  </si>
  <si>
    <t>Printing Signs</t>
  </si>
  <si>
    <t>Equipment (2 coolers)</t>
  </si>
  <si>
    <t>Repairs</t>
  </si>
  <si>
    <t>Sanitation Removal</t>
  </si>
  <si>
    <t>Total YDF Expenses</t>
  </si>
  <si>
    <t>TOTAL EXPENSES</t>
  </si>
  <si>
    <t>SUMMARY INCOME</t>
  </si>
  <si>
    <t xml:space="preserve">                 </t>
  </si>
  <si>
    <t>House</t>
  </si>
  <si>
    <t>SUMMARY EXPENSES</t>
  </si>
  <si>
    <t>Investments</t>
  </si>
  <si>
    <t>NET INCOME LESS EXPENSES</t>
  </si>
  <si>
    <t>Investment</t>
  </si>
  <si>
    <t>PROFIT/(LOSS)</t>
  </si>
  <si>
    <t xml:space="preserve">                                                              </t>
  </si>
  <si>
    <t>WESTPORT WOMAN'S CLUB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</si>
  <si>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</si>
  <si>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>```</t>
  </si>
  <si>
    <t xml:space="preserve"> </t>
  </si>
  <si>
    <t>Misc. Other/Nonrecurring Fundraisers</t>
  </si>
  <si>
    <t>`</t>
  </si>
  <si>
    <t>Special Removal/Planting due to Storm</t>
  </si>
  <si>
    <t>2019-2020</t>
  </si>
  <si>
    <t>2021-2022</t>
  </si>
  <si>
    <t>Misc-ins proceeds from damaged art</t>
  </si>
  <si>
    <t>Swirl &amp; Savor/Sip (2)</t>
  </si>
  <si>
    <t>Sip &amp; Savor</t>
  </si>
  <si>
    <t>Utilities (incl Wspt sewer usage tax)</t>
  </si>
  <si>
    <t xml:space="preserve">New Member events </t>
  </si>
  <si>
    <t>Investment Income (JPMorgan &amp; GS)</t>
  </si>
  <si>
    <t>Caterer/Food</t>
  </si>
  <si>
    <t>YDF (2)</t>
  </si>
  <si>
    <t xml:space="preserve">                                                                                                    </t>
  </si>
  <si>
    <t>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</t>
  </si>
  <si>
    <t>WWC2021-2022Budget</t>
  </si>
  <si>
    <t>WWC2021-2022Budget.xls</t>
  </si>
  <si>
    <t>YDF Expenses(2)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</si>
</sst>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6" formatCode="&quot;$&quot;#,##0_);[Red]\(&quot;$&quot;#,##0\)"/>
    <numFmt numFmtId="164" formatCode="&quot;$&quot;#,##0"/>
  </numFmts>
  <fonts count="22" x14ac:knownFonts="1">
    <font>
      <sz val="11"/>
      <color theme="1"/>
      <name val="Calibri"/>
      <family val="2"/>
      <scheme val="minor"/>
    </font>
    <font>
      <u val="double"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charset val="1"/>
    </font>
    <font>
      <b/>
      <sz val="10"/>
      <color indexed="81"/>
      <name val="Tahoma"/>
      <charset val="1"/>
    </font>
    <font>
      <sz val="12"/>
      <name val="Calibri"/>
      <family val="2"/>
      <scheme val="minor"/>
    </font>
    <font>
      <u/>
      <sz val="12"/>
      <name val="Calibri"/>
      <family val="2"/>
    </font>
    <font>
      <u val="double"/>
      <sz val="12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u/>
      <sz val="12"/>
      <name val="Calibri"/>
      <family val="2"/>
      <scheme val="minor"/>
    </font>
    <font>
      <u val="double"/>
      <sz val="12"/>
      <name val="Calibri"/>
      <family val="2"/>
      <scheme val="minor"/>
    </font>
    <font>
      <sz val="9"/>
      <name val="Calibri"/>
      <family val="2"/>
    </font>
    <font>
      <b/>
      <sz val="12"/>
      <name val="Calibri"/>
      <family val="2"/>
      <scheme val="minor"/>
    </font>
    <font>
      <b/>
      <u/>
      <sz val="12"/>
      <name val="Calibr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/>
    <xf numFmtId="6" fontId="1" fillId="0" borderId="0" xfId="0" applyNumberFormat="1" applyFont="1"/>
    <xf numFmtId="6" fontId="2" fillId="0" borderId="0" xfId="0" applyNumberFormat="1" applyFont="1"/>
    <xf numFmtId="6" fontId="7" fillId="0" borderId="0" xfId="0" applyNumberFormat="1" applyFont="1"/>
    <xf numFmtId="6" fontId="8" fillId="0" borderId="0" xfId="0" applyNumberFormat="1" applyFont="1"/>
    <xf numFmtId="6" fontId="9" fillId="0" borderId="0" xfId="0" applyNumberFormat="1" applyFont="1"/>
    <xf numFmtId="164" fontId="10" fillId="0" borderId="0" xfId="0" applyNumberFormat="1" applyFont="1"/>
    <xf numFmtId="164" fontId="7" fillId="0" borderId="0" xfId="0" applyNumberFormat="1" applyFont="1"/>
    <xf numFmtId="164" fontId="11" fillId="0" borderId="0" xfId="0" applyNumberFormat="1" applyFont="1"/>
    <xf numFmtId="0" fontId="10" fillId="0" borderId="4" xfId="0" applyFont="1" applyBorder="1"/>
    <xf numFmtId="0" fontId="13" fillId="0" borderId="4" xfId="0" applyFont="1" applyBorder="1" applyAlignment="1">
      <alignment horizontal="center"/>
    </xf>
    <xf numFmtId="0" fontId="10" fillId="0" borderId="0" xfId="0" applyFont="1"/>
    <xf numFmtId="6" fontId="14" fillId="2" borderId="1" xfId="0" applyNumberFormat="1" applyFont="1" applyFill="1" applyBorder="1" applyAlignment="1">
      <alignment horizontal="center"/>
    </xf>
    <xf numFmtId="6" fontId="14" fillId="2" borderId="2" xfId="0" applyNumberFormat="1" applyFont="1" applyFill="1" applyBorder="1" applyAlignment="1">
      <alignment horizontal="center"/>
    </xf>
    <xf numFmtId="0" fontId="14" fillId="2" borderId="3" xfId="0" applyFont="1" applyFill="1" applyBorder="1"/>
    <xf numFmtId="0" fontId="14" fillId="2" borderId="0" xfId="0" applyFont="1" applyFill="1" applyBorder="1"/>
    <xf numFmtId="6" fontId="10" fillId="0" borderId="0" xfId="0" applyNumberFormat="1" applyFont="1"/>
    <xf numFmtId="0" fontId="8" fillId="0" borderId="0" xfId="0" applyFont="1"/>
    <xf numFmtId="0" fontId="10" fillId="0" borderId="0" xfId="0" applyFont="1" applyAlignment="1"/>
    <xf numFmtId="6" fontId="15" fillId="0" borderId="0" xfId="0" applyNumberFormat="1" applyFont="1"/>
    <xf numFmtId="6" fontId="16" fillId="0" borderId="0" xfId="0" applyNumberFormat="1" applyFont="1"/>
    <xf numFmtId="0" fontId="10" fillId="3" borderId="3" xfId="0" applyFont="1" applyFill="1" applyBorder="1" applyAlignment="1">
      <alignment horizontal="right"/>
    </xf>
    <xf numFmtId="164" fontId="11" fillId="0" borderId="0" xfId="0" applyNumberFormat="1" applyFont="1" applyBorder="1"/>
    <xf numFmtId="0" fontId="14" fillId="2" borderId="0" xfId="0" applyFont="1" applyFill="1" applyAlignment="1">
      <alignment horizontal="right"/>
    </xf>
    <xf numFmtId="6" fontId="17" fillId="0" borderId="0" xfId="0" applyNumberFormat="1" applyFont="1"/>
    <xf numFmtId="164" fontId="9" fillId="0" borderId="0" xfId="0" applyNumberFormat="1" applyFont="1"/>
    <xf numFmtId="0" fontId="14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4" fillId="2" borderId="0" xfId="0" applyFont="1" applyFill="1"/>
    <xf numFmtId="0" fontId="8" fillId="3" borderId="3" xfId="0" applyFont="1" applyFill="1" applyBorder="1"/>
    <xf numFmtId="0" fontId="8" fillId="3" borderId="0" xfId="0" applyFont="1" applyFill="1" applyBorder="1"/>
    <xf numFmtId="6" fontId="16" fillId="0" borderId="0" xfId="0" applyNumberFormat="1" applyFont="1" applyAlignment="1"/>
    <xf numFmtId="6" fontId="8" fillId="0" borderId="0" xfId="0" applyNumberFormat="1" applyFont="1" applyAlignment="1"/>
    <xf numFmtId="0" fontId="10" fillId="3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0" fillId="0" borderId="3" xfId="0" applyFont="1" applyBorder="1" applyAlignment="1">
      <alignment horizontal="left" vertical="top"/>
    </xf>
    <xf numFmtId="5" fontId="7" fillId="0" borderId="0" xfId="0" applyNumberFormat="1" applyFont="1"/>
    <xf numFmtId="6" fontId="11" fillId="0" borderId="0" xfId="0" applyNumberFormat="1" applyFont="1"/>
    <xf numFmtId="0" fontId="10" fillId="4" borderId="0" xfId="0" applyFont="1" applyFill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4" fillId="4" borderId="0" xfId="0" applyFont="1" applyFill="1" applyAlignment="1">
      <alignment horizontal="right"/>
    </xf>
    <xf numFmtId="0" fontId="20" fillId="2" borderId="0" xfId="0" applyFont="1" applyFill="1"/>
    <xf numFmtId="0" fontId="14" fillId="5" borderId="0" xfId="0" applyFont="1" applyFill="1" applyAlignment="1">
      <alignment horizontal="right"/>
    </xf>
    <xf numFmtId="0" fontId="20" fillId="2" borderId="3" xfId="0" applyFont="1" applyFill="1" applyBorder="1"/>
    <xf numFmtId="0" fontId="20" fillId="2" borderId="0" xfId="0" applyFont="1" applyFill="1" applyBorder="1"/>
    <xf numFmtId="0" fontId="21" fillId="0" borderId="0" xfId="0" applyFont="1"/>
    <xf numFmtId="0" fontId="7" fillId="0" borderId="0" xfId="0" applyFont="1"/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S240"/>
  <sheetViews>
    <sheetView tabSelected="1" topLeftCell="A173" workbookViewId="0">
      <selection activeCell="J168" sqref="J168"/>
    </sheetView>
  </sheetViews>
  <sheetFormatPr defaultRowHeight="15" x14ac:dyDescent="0.25"/>
  <cols>
    <col min="1" max="1" width="35.28515625" customWidth="1"/>
    <col min="2" max="2" width="12.7109375" customWidth="1"/>
    <col min="3" max="3" width="12.28515625" customWidth="1"/>
    <col min="4" max="4" width="11.28515625" customWidth="1"/>
    <col min="5" max="5" width="12.85546875" customWidth="1"/>
    <col min="6" max="6" width="0.42578125" hidden="1" customWidth="1"/>
    <col min="7" max="7" width="12.5703125" customWidth="1"/>
    <col min="8" max="8" width="18.42578125" hidden="1" customWidth="1"/>
    <col min="9" max="9" width="11" customWidth="1"/>
  </cols>
  <sheetData>
    <row r="1" spans="1:12" ht="18.75" x14ac:dyDescent="0.3">
      <c r="A1" s="50" t="s">
        <v>118</v>
      </c>
      <c r="B1" s="50"/>
      <c r="C1" s="50"/>
      <c r="D1" s="50"/>
      <c r="E1" s="50"/>
      <c r="F1" s="50"/>
      <c r="G1" s="50"/>
      <c r="H1" s="50"/>
    </row>
    <row r="2" spans="1:12" x14ac:dyDescent="0.25">
      <c r="A2" s="10"/>
      <c r="B2" s="10"/>
      <c r="C2" s="10"/>
      <c r="D2" s="10"/>
      <c r="E2" s="11"/>
      <c r="F2" s="10"/>
      <c r="G2" s="10"/>
      <c r="H2" s="10"/>
    </row>
    <row r="3" spans="1:12" ht="15.75" x14ac:dyDescent="0.25">
      <c r="A3" s="12"/>
      <c r="B3" s="13" t="s">
        <v>125</v>
      </c>
      <c r="C3" s="13" t="s">
        <v>125</v>
      </c>
      <c r="D3" s="13" t="s">
        <v>0</v>
      </c>
      <c r="E3" s="13" t="s">
        <v>0</v>
      </c>
      <c r="F3" s="13"/>
      <c r="G3" s="13" t="s">
        <v>126</v>
      </c>
      <c r="H3" s="13" t="s">
        <v>1</v>
      </c>
    </row>
    <row r="4" spans="1:12" ht="16.5" thickBot="1" x14ac:dyDescent="0.3">
      <c r="A4" s="12"/>
      <c r="B4" s="14" t="s">
        <v>2</v>
      </c>
      <c r="C4" s="14" t="s">
        <v>3</v>
      </c>
      <c r="D4" s="14" t="s">
        <v>2</v>
      </c>
      <c r="E4" s="14" t="s">
        <v>3</v>
      </c>
      <c r="F4" s="14"/>
      <c r="G4" s="14" t="s">
        <v>2</v>
      </c>
      <c r="H4" s="14" t="s">
        <v>4</v>
      </c>
    </row>
    <row r="5" spans="1:12" ht="16.5" thickBot="1" x14ac:dyDescent="0.3">
      <c r="A5" s="15" t="s">
        <v>5</v>
      </c>
      <c r="B5" s="16"/>
      <c r="C5" s="16"/>
      <c r="D5" s="17"/>
      <c r="E5" s="17"/>
      <c r="F5" s="17"/>
      <c r="G5" s="17"/>
      <c r="H5" s="17"/>
    </row>
    <row r="6" spans="1:12" ht="15.75" x14ac:dyDescent="0.25">
      <c r="A6" s="12" t="s">
        <v>6</v>
      </c>
      <c r="B6" s="17">
        <v>2150</v>
      </c>
      <c r="C6" s="17">
        <v>167</v>
      </c>
      <c r="D6" s="4">
        <v>2150</v>
      </c>
      <c r="E6" s="4">
        <v>0</v>
      </c>
      <c r="F6" s="4"/>
      <c r="G6" s="4">
        <v>0</v>
      </c>
      <c r="H6" s="4">
        <f>E6-D6</f>
        <v>-2150</v>
      </c>
    </row>
    <row r="7" spans="1:12" ht="15.75" x14ac:dyDescent="0.25">
      <c r="A7" s="12" t="s">
        <v>7</v>
      </c>
      <c r="B7" s="17">
        <v>15300</v>
      </c>
      <c r="C7" s="17">
        <v>9081</v>
      </c>
      <c r="D7" s="4">
        <v>0</v>
      </c>
      <c r="E7" s="4">
        <f>3881-71</f>
        <v>3810</v>
      </c>
      <c r="F7" s="4"/>
      <c r="G7" s="7">
        <v>14850</v>
      </c>
      <c r="H7" s="4">
        <f>E7-D7</f>
        <v>3810</v>
      </c>
    </row>
    <row r="8" spans="1:12" ht="15.75" x14ac:dyDescent="0.25">
      <c r="A8" s="18" t="s">
        <v>8</v>
      </c>
      <c r="B8" s="17"/>
      <c r="C8" s="17"/>
      <c r="D8" s="4"/>
      <c r="E8" s="4"/>
      <c r="F8" s="4"/>
      <c r="G8" s="4"/>
      <c r="H8" s="4"/>
      <c r="I8" t="s">
        <v>123</v>
      </c>
      <c r="L8" t="s">
        <v>117</v>
      </c>
    </row>
    <row r="9" spans="1:12" ht="15.75" x14ac:dyDescent="0.25">
      <c r="A9" s="19" t="s">
        <v>9</v>
      </c>
      <c r="B9" s="17">
        <v>7000</v>
      </c>
      <c r="C9" s="17">
        <v>12450.68</v>
      </c>
      <c r="D9" s="4">
        <v>7000</v>
      </c>
      <c r="E9" s="4">
        <f>2586+1676</f>
        <v>4262</v>
      </c>
      <c r="F9" s="4"/>
      <c r="G9" s="4">
        <v>7000</v>
      </c>
      <c r="H9" s="4">
        <f t="shared" ref="H9:H16" si="0">E9-D9</f>
        <v>-2738</v>
      </c>
    </row>
    <row r="10" spans="1:12" ht="15.75" x14ac:dyDescent="0.25">
      <c r="A10" s="19" t="s">
        <v>10</v>
      </c>
      <c r="B10" s="17">
        <v>1300</v>
      </c>
      <c r="C10" s="17">
        <v>462</v>
      </c>
      <c r="D10" s="20">
        <v>0</v>
      </c>
      <c r="E10" s="4">
        <v>71</v>
      </c>
      <c r="F10" s="4"/>
      <c r="G10" s="4">
        <v>0</v>
      </c>
      <c r="H10" s="4">
        <f t="shared" si="0"/>
        <v>71</v>
      </c>
    </row>
    <row r="11" spans="1:12" ht="15.75" x14ac:dyDescent="0.25">
      <c r="A11" s="19" t="s">
        <v>11</v>
      </c>
      <c r="B11" s="17"/>
      <c r="C11" s="17">
        <v>865.36</v>
      </c>
      <c r="D11" s="20">
        <v>0</v>
      </c>
      <c r="E11" s="4">
        <v>0</v>
      </c>
      <c r="F11" s="4"/>
      <c r="G11" s="4">
        <v>0</v>
      </c>
      <c r="H11" s="4">
        <f t="shared" si="0"/>
        <v>0</v>
      </c>
    </row>
    <row r="12" spans="1:12" ht="16.5" thickBot="1" x14ac:dyDescent="0.3">
      <c r="A12" s="19" t="s">
        <v>12</v>
      </c>
      <c r="B12" s="21">
        <v>0</v>
      </c>
      <c r="C12" s="21">
        <v>5000</v>
      </c>
      <c r="D12" s="5">
        <v>0</v>
      </c>
      <c r="E12" s="5">
        <f>6200+1775+100</f>
        <v>8075</v>
      </c>
      <c r="F12" s="5"/>
      <c r="G12" s="5">
        <v>8000</v>
      </c>
      <c r="H12" s="5">
        <f t="shared" si="0"/>
        <v>8075</v>
      </c>
    </row>
    <row r="13" spans="1:12" ht="16.5" thickBot="1" x14ac:dyDescent="0.3">
      <c r="A13" s="22" t="s">
        <v>13</v>
      </c>
      <c r="B13" s="17">
        <f>SUM(B9:B12)</f>
        <v>8300</v>
      </c>
      <c r="C13" s="17">
        <f>SUM(C9:C12)</f>
        <v>18778.04</v>
      </c>
      <c r="D13" s="4">
        <f>SUM(D9:D12)</f>
        <v>7000</v>
      </c>
      <c r="E13" s="4">
        <f>SUM(E9:E12)</f>
        <v>12408</v>
      </c>
      <c r="F13" s="4"/>
      <c r="G13" s="4">
        <f>SUM(G9:G12)</f>
        <v>15000</v>
      </c>
      <c r="H13" s="4">
        <f t="shared" si="0"/>
        <v>5408</v>
      </c>
    </row>
    <row r="14" spans="1:12" ht="15.75" x14ac:dyDescent="0.25">
      <c r="A14" s="12" t="s">
        <v>14</v>
      </c>
      <c r="B14" s="17">
        <v>25000</v>
      </c>
      <c r="C14" s="17">
        <v>22657.5</v>
      </c>
      <c r="D14" s="4">
        <v>6942</v>
      </c>
      <c r="E14" s="4">
        <f>13005+2635.5+3548</f>
        <v>19188.5</v>
      </c>
      <c r="F14" s="4"/>
      <c r="G14" s="4">
        <v>13000</v>
      </c>
      <c r="H14" s="4">
        <f t="shared" si="0"/>
        <v>12246.5</v>
      </c>
    </row>
    <row r="15" spans="1:12" ht="15.75" x14ac:dyDescent="0.25">
      <c r="A15" s="12" t="s">
        <v>132</v>
      </c>
      <c r="B15" s="17">
        <v>48000</v>
      </c>
      <c r="C15" s="17">
        <v>75149.55</v>
      </c>
      <c r="D15" s="4">
        <v>60000</v>
      </c>
      <c r="E15" s="4">
        <f>47321.59+2179.42+1.31+384.26+133.53+57.13+338.61+556.47+97.85+51.09+57.97+118.03+1.31</f>
        <v>51298.569999999985</v>
      </c>
      <c r="F15" s="4"/>
      <c r="G15" s="4">
        <v>52000</v>
      </c>
      <c r="H15" s="4">
        <f t="shared" si="0"/>
        <v>-8701.4300000000148</v>
      </c>
    </row>
    <row r="16" spans="1:12" ht="15.75" x14ac:dyDescent="0.25">
      <c r="A16" s="12" t="s">
        <v>16</v>
      </c>
      <c r="B16" s="17">
        <v>16000</v>
      </c>
      <c r="C16" s="17">
        <v>15810</v>
      </c>
      <c r="D16" s="4">
        <v>10500</v>
      </c>
      <c r="E16" s="4">
        <v>14758.84</v>
      </c>
      <c r="F16" s="4"/>
      <c r="G16" s="4">
        <v>10500</v>
      </c>
      <c r="H16" s="4">
        <f t="shared" si="0"/>
        <v>4258.84</v>
      </c>
    </row>
    <row r="17" spans="1:13" ht="15.75" x14ac:dyDescent="0.25">
      <c r="A17" s="18" t="s">
        <v>17</v>
      </c>
      <c r="B17" s="17"/>
      <c r="C17" s="17"/>
      <c r="D17" s="4"/>
      <c r="E17" s="4"/>
      <c r="F17" s="4"/>
      <c r="G17" s="4"/>
      <c r="H17" s="4"/>
    </row>
    <row r="18" spans="1:13" ht="15.75" x14ac:dyDescent="0.25">
      <c r="A18" s="12" t="s">
        <v>18</v>
      </c>
      <c r="B18" s="17">
        <v>38000</v>
      </c>
      <c r="C18" s="17">
        <v>18028</v>
      </c>
      <c r="D18" s="4">
        <v>20000</v>
      </c>
      <c r="E18" s="4">
        <f>875+875+500</f>
        <v>2250</v>
      </c>
      <c r="F18" s="4"/>
      <c r="G18" s="7">
        <v>8000</v>
      </c>
      <c r="H18" s="4">
        <f t="shared" ref="H18:H22" si="1">E18-D18</f>
        <v>-17750</v>
      </c>
    </row>
    <row r="19" spans="1:13" ht="16.5" thickBot="1" x14ac:dyDescent="0.3">
      <c r="A19" s="12" t="s">
        <v>19</v>
      </c>
      <c r="B19" s="21">
        <v>1200</v>
      </c>
      <c r="C19" s="21">
        <v>1200</v>
      </c>
      <c r="D19" s="5">
        <v>1200</v>
      </c>
      <c r="E19" s="5">
        <v>600</v>
      </c>
      <c r="F19" s="5"/>
      <c r="G19" s="23">
        <v>1200</v>
      </c>
      <c r="H19" s="5">
        <f t="shared" si="1"/>
        <v>-600</v>
      </c>
    </row>
    <row r="20" spans="1:13" ht="16.5" thickBot="1" x14ac:dyDescent="0.3">
      <c r="A20" s="22" t="s">
        <v>20</v>
      </c>
      <c r="B20" s="17">
        <f>SUM(B18:B19)</f>
        <v>39200</v>
      </c>
      <c r="C20" s="17">
        <f>C18+C19</f>
        <v>19228</v>
      </c>
      <c r="D20" s="4">
        <f>SUM(D18:D19)</f>
        <v>21200</v>
      </c>
      <c r="E20" s="4">
        <f>E18+E19</f>
        <v>2850</v>
      </c>
      <c r="F20" s="4"/>
      <c r="G20" s="4">
        <f>G18+G19</f>
        <v>9200</v>
      </c>
      <c r="H20" s="4">
        <f t="shared" si="1"/>
        <v>-18350</v>
      </c>
    </row>
    <row r="21" spans="1:13" ht="15.75" x14ac:dyDescent="0.25">
      <c r="A21" s="12" t="s">
        <v>21</v>
      </c>
      <c r="B21" s="17">
        <v>1000</v>
      </c>
      <c r="C21" s="17">
        <v>4500</v>
      </c>
      <c r="D21" s="4">
        <v>0</v>
      </c>
      <c r="E21" s="4">
        <v>4000</v>
      </c>
      <c r="F21" s="4"/>
      <c r="G21" s="4">
        <v>0</v>
      </c>
      <c r="H21" s="4">
        <f t="shared" si="1"/>
        <v>4000</v>
      </c>
    </row>
    <row r="22" spans="1:13" ht="15.75" x14ac:dyDescent="0.25">
      <c r="A22" s="12" t="s">
        <v>22</v>
      </c>
      <c r="B22" s="17">
        <v>2250</v>
      </c>
      <c r="C22" s="17">
        <v>2600</v>
      </c>
      <c r="D22" s="4">
        <v>2250</v>
      </c>
      <c r="E22" s="4">
        <v>0</v>
      </c>
      <c r="F22" s="4"/>
      <c r="G22" s="4">
        <v>0</v>
      </c>
      <c r="H22" s="4">
        <f t="shared" si="1"/>
        <v>-2250</v>
      </c>
    </row>
    <row r="23" spans="1:13" ht="15.75" x14ac:dyDescent="0.25">
      <c r="A23" s="12" t="s">
        <v>23</v>
      </c>
      <c r="B23" s="17"/>
      <c r="C23" s="17">
        <v>187186</v>
      </c>
      <c r="D23" s="4">
        <v>0</v>
      </c>
      <c r="E23" s="4">
        <f>55855+100</f>
        <v>55955</v>
      </c>
      <c r="F23" s="4"/>
      <c r="G23" s="4">
        <v>4000</v>
      </c>
      <c r="H23" s="4">
        <f t="shared" ref="H23:H33" si="2">E23-D23</f>
        <v>55955</v>
      </c>
      <c r="I23" t="s">
        <v>123</v>
      </c>
    </row>
    <row r="24" spans="1:13" ht="15.75" x14ac:dyDescent="0.25">
      <c r="A24" s="18" t="s">
        <v>24</v>
      </c>
      <c r="B24" s="17"/>
      <c r="C24" s="17"/>
      <c r="D24" s="4"/>
      <c r="E24" s="4"/>
      <c r="F24" s="4"/>
      <c r="G24" s="4"/>
      <c r="H24" s="4"/>
    </row>
    <row r="25" spans="1:13" ht="15.75" x14ac:dyDescent="0.25">
      <c r="A25" s="12" t="s">
        <v>25</v>
      </c>
      <c r="B25" s="17">
        <v>5000</v>
      </c>
      <c r="C25" s="17">
        <v>14695.7</v>
      </c>
      <c r="D25" s="4">
        <v>0</v>
      </c>
      <c r="E25" s="4">
        <v>0</v>
      </c>
      <c r="F25" s="4"/>
      <c r="G25" s="4">
        <v>7740</v>
      </c>
      <c r="H25" s="4">
        <f t="shared" si="2"/>
        <v>0</v>
      </c>
    </row>
    <row r="26" spans="1:13" ht="15.75" x14ac:dyDescent="0.25">
      <c r="A26" s="12" t="s">
        <v>128</v>
      </c>
      <c r="B26" s="17">
        <v>7500</v>
      </c>
      <c r="C26" s="17">
        <v>6724.69</v>
      </c>
      <c r="D26" s="4">
        <v>0</v>
      </c>
      <c r="E26" s="4">
        <f>1084.22+1845</f>
        <v>2929.2200000000003</v>
      </c>
      <c r="F26" s="4"/>
      <c r="G26" s="4">
        <v>0</v>
      </c>
      <c r="H26" s="4">
        <f t="shared" si="2"/>
        <v>2929.2200000000003</v>
      </c>
    </row>
    <row r="27" spans="1:13" ht="15.75" x14ac:dyDescent="0.25">
      <c r="A27" s="12" t="s">
        <v>26</v>
      </c>
      <c r="B27" s="17">
        <v>6000</v>
      </c>
      <c r="C27" s="17">
        <v>5857.67</v>
      </c>
      <c r="D27" s="4">
        <v>0</v>
      </c>
      <c r="E27" s="4">
        <v>0</v>
      </c>
      <c r="F27" s="4"/>
      <c r="G27" s="4">
        <v>0</v>
      </c>
      <c r="H27" s="4">
        <f t="shared" si="2"/>
        <v>0</v>
      </c>
    </row>
    <row r="28" spans="1:13" ht="15.75" x14ac:dyDescent="0.25">
      <c r="A28" s="12" t="s">
        <v>27</v>
      </c>
      <c r="B28" s="17">
        <v>19000</v>
      </c>
      <c r="C28" s="17">
        <v>-81.900000000000006</v>
      </c>
      <c r="D28" s="4">
        <v>0</v>
      </c>
      <c r="E28" s="4">
        <v>0</v>
      </c>
      <c r="F28" s="4"/>
      <c r="G28" s="4">
        <v>0</v>
      </c>
      <c r="H28" s="4">
        <f t="shared" si="2"/>
        <v>0</v>
      </c>
    </row>
    <row r="29" spans="1:13" ht="15.75" x14ac:dyDescent="0.25">
      <c r="A29" s="12" t="s">
        <v>28</v>
      </c>
      <c r="B29" s="17">
        <v>18000</v>
      </c>
      <c r="C29" s="17">
        <v>4845</v>
      </c>
      <c r="D29" s="4">
        <v>0</v>
      </c>
      <c r="E29" s="4">
        <f>1500+10716.4+55.93</f>
        <v>12272.33</v>
      </c>
      <c r="F29" s="4"/>
      <c r="G29" s="4">
        <v>12000</v>
      </c>
      <c r="H29" s="4" t="e">
        <f>#REF!-D29</f>
        <v>#REF!</v>
      </c>
    </row>
    <row r="30" spans="1:13" ht="15.75" x14ac:dyDescent="0.25">
      <c r="A30" s="12" t="s">
        <v>29</v>
      </c>
      <c r="B30" s="17">
        <v>600</v>
      </c>
      <c r="C30" s="4">
        <v>0</v>
      </c>
      <c r="D30" s="4">
        <v>0</v>
      </c>
      <c r="E30" s="4">
        <v>0</v>
      </c>
      <c r="F30" s="4"/>
      <c r="G30" s="4">
        <v>0</v>
      </c>
      <c r="H30" s="4">
        <f t="shared" si="2"/>
        <v>0</v>
      </c>
    </row>
    <row r="31" spans="1:13" ht="15.75" x14ac:dyDescent="0.25">
      <c r="A31" s="12" t="s">
        <v>30</v>
      </c>
      <c r="B31" s="17">
        <v>2400</v>
      </c>
      <c r="C31" s="4">
        <v>0</v>
      </c>
      <c r="D31" s="4">
        <v>0</v>
      </c>
      <c r="E31" s="4">
        <v>0</v>
      </c>
      <c r="F31" s="4"/>
      <c r="G31" s="4">
        <v>0</v>
      </c>
      <c r="H31" s="4">
        <f t="shared" si="2"/>
        <v>0</v>
      </c>
      <c r="I31" s="1"/>
      <c r="J31" s="1"/>
      <c r="K31" s="1"/>
      <c r="L31" s="1"/>
      <c r="M31" s="1"/>
    </row>
    <row r="32" spans="1:13" ht="16.5" thickBot="1" x14ac:dyDescent="0.3">
      <c r="A32" s="12" t="s">
        <v>31</v>
      </c>
      <c r="B32" s="21">
        <v>0</v>
      </c>
      <c r="C32" s="21">
        <v>3450</v>
      </c>
      <c r="D32" s="5">
        <v>20000</v>
      </c>
      <c r="E32" s="5">
        <f>4666.75+100</f>
        <v>4766.75</v>
      </c>
      <c r="F32" s="5"/>
      <c r="G32" s="5">
        <v>2500</v>
      </c>
      <c r="H32" s="20">
        <f t="shared" si="2"/>
        <v>-15233.25</v>
      </c>
      <c r="I32" s="1"/>
      <c r="J32" s="1"/>
      <c r="K32" s="1"/>
      <c r="L32" s="1"/>
      <c r="M32" s="1"/>
    </row>
    <row r="33" spans="1:9" ht="16.5" thickBot="1" x14ac:dyDescent="0.3">
      <c r="A33" s="22" t="s">
        <v>32</v>
      </c>
      <c r="B33" s="17">
        <f>SUM(B25:B32)</f>
        <v>58500</v>
      </c>
      <c r="C33" s="17">
        <f>C25+C26+C27+C28+C29+C30+C31+C32</f>
        <v>35491.159999999996</v>
      </c>
      <c r="D33" s="4">
        <f>SUM(D25:D32)</f>
        <v>20000</v>
      </c>
      <c r="E33" s="4">
        <f>SUM(E25:E32)</f>
        <v>19968.3</v>
      </c>
      <c r="F33" s="4"/>
      <c r="G33" s="4">
        <f>SUM(G25:G32)</f>
        <v>22240</v>
      </c>
      <c r="H33" s="4">
        <f t="shared" si="2"/>
        <v>-31.700000000000728</v>
      </c>
    </row>
    <row r="34" spans="1:9" ht="15.75" x14ac:dyDescent="0.25">
      <c r="A34" s="18" t="s">
        <v>134</v>
      </c>
      <c r="B34" s="17"/>
      <c r="C34" s="17"/>
      <c r="D34" s="5"/>
      <c r="E34" s="4"/>
      <c r="F34" s="4"/>
      <c r="G34" s="4"/>
      <c r="H34" s="4"/>
    </row>
    <row r="35" spans="1:9" ht="15.75" x14ac:dyDescent="0.25">
      <c r="A35" s="12" t="s">
        <v>34</v>
      </c>
      <c r="B35" s="17">
        <v>29500</v>
      </c>
      <c r="C35" s="4">
        <v>0</v>
      </c>
      <c r="D35" s="4">
        <v>0</v>
      </c>
      <c r="E35" s="4">
        <v>0</v>
      </c>
      <c r="F35" s="4"/>
      <c r="G35" s="8">
        <v>29500</v>
      </c>
      <c r="H35" s="4"/>
    </row>
    <row r="36" spans="1:9" ht="15.75" x14ac:dyDescent="0.25">
      <c r="A36" s="12" t="s">
        <v>35</v>
      </c>
      <c r="B36" s="17">
        <v>125000</v>
      </c>
      <c r="C36" s="4">
        <v>0</v>
      </c>
      <c r="D36" s="4">
        <v>0</v>
      </c>
      <c r="E36" s="4">
        <v>100</v>
      </c>
      <c r="F36" s="4"/>
      <c r="G36" s="7">
        <v>184000</v>
      </c>
      <c r="H36" s="4"/>
    </row>
    <row r="37" spans="1:9" ht="15.75" x14ac:dyDescent="0.25">
      <c r="A37" s="12" t="s">
        <v>36</v>
      </c>
      <c r="B37" s="17">
        <v>3500</v>
      </c>
      <c r="C37" s="17">
        <v>2427.1999999999998</v>
      </c>
      <c r="D37" s="4">
        <v>0</v>
      </c>
      <c r="E37" s="4">
        <v>0</v>
      </c>
      <c r="F37" s="4"/>
      <c r="G37" s="7">
        <v>6500</v>
      </c>
      <c r="H37" s="4"/>
    </row>
    <row r="38" spans="1:9" ht="16.5" thickBot="1" x14ac:dyDescent="0.3">
      <c r="A38" s="12" t="s">
        <v>37</v>
      </c>
      <c r="B38" s="4">
        <v>0</v>
      </c>
      <c r="C38" s="4">
        <v>0</v>
      </c>
      <c r="D38" s="4">
        <v>0</v>
      </c>
      <c r="E38" s="4">
        <v>0</v>
      </c>
      <c r="F38" s="4"/>
      <c r="G38" s="9">
        <v>0</v>
      </c>
      <c r="H38" s="4"/>
    </row>
    <row r="39" spans="1:9" ht="16.5" thickBot="1" x14ac:dyDescent="0.3">
      <c r="A39" s="22" t="s">
        <v>38</v>
      </c>
      <c r="B39" s="21">
        <f>SUM(B35:B38)</f>
        <v>158000</v>
      </c>
      <c r="C39" s="21">
        <f>SUM(C34:C38)</f>
        <v>2427.1999999999998</v>
      </c>
      <c r="D39" s="5">
        <f>SUM(D35:D38)</f>
        <v>0</v>
      </c>
      <c r="E39" s="5">
        <f>SUM(E34:E38)</f>
        <v>100</v>
      </c>
      <c r="F39" s="5"/>
      <c r="G39" s="7">
        <f>G36+G37+G35</f>
        <v>220000</v>
      </c>
      <c r="H39" s="5">
        <f>E39-D39</f>
        <v>100</v>
      </c>
    </row>
    <row r="40" spans="1:9" ht="15.75" x14ac:dyDescent="0.25">
      <c r="A40" s="24" t="s">
        <v>39</v>
      </c>
      <c r="B40" s="25">
        <f>B6+B7+B13+B14+B15+B16+B20+B21+B22+B33+B39</f>
        <v>373700</v>
      </c>
      <c r="C40" s="25">
        <f>C6+C7+C13+C14+C15+C16+C20+C21+C22+C23+C33+C39</f>
        <v>393075.44999999995</v>
      </c>
      <c r="D40" s="6">
        <f>D6+D9+D14+D15+D16+D18+D19+D22+D32+D39</f>
        <v>130042</v>
      </c>
      <c r="E40" s="6">
        <f>E39+E33+E23+E21+E20+E16+E15+E14+E13+E7</f>
        <v>184337.21</v>
      </c>
      <c r="F40" s="6"/>
      <c r="G40" s="26">
        <f>G39+G33+G23+G21+G20+G16+G15+G14+G13+G7</f>
        <v>360790</v>
      </c>
      <c r="H40" s="6">
        <f>H39+H33+H21+H20+H16+H15+H14+H13+H7+H6+H23</f>
        <v>56545.209999999985</v>
      </c>
      <c r="I40" s="2"/>
    </row>
    <row r="41" spans="1:9" ht="15.75" x14ac:dyDescent="0.25">
      <c r="A41" s="27"/>
      <c r="B41" s="27"/>
      <c r="C41" s="27"/>
      <c r="D41" s="6"/>
      <c r="E41" s="6"/>
      <c r="F41" s="6"/>
      <c r="G41" s="6"/>
      <c r="H41" s="6"/>
    </row>
    <row r="42" spans="1:9" ht="15.75" x14ac:dyDescent="0.25">
      <c r="A42" s="27"/>
      <c r="B42" s="27"/>
      <c r="C42" s="27"/>
      <c r="D42" s="6"/>
      <c r="E42" s="6"/>
      <c r="F42" s="6"/>
      <c r="G42" s="6"/>
      <c r="H42" s="6"/>
    </row>
    <row r="43" spans="1:9" ht="15.75" x14ac:dyDescent="0.25">
      <c r="A43" s="27"/>
      <c r="B43" s="27"/>
      <c r="C43" s="27"/>
      <c r="D43" s="6"/>
      <c r="E43" s="6"/>
      <c r="F43" s="6"/>
      <c r="G43" s="6"/>
      <c r="H43" s="6"/>
    </row>
    <row r="44" spans="1:9" ht="15.75" x14ac:dyDescent="0.25">
      <c r="A44" s="27"/>
      <c r="B44" s="27"/>
      <c r="C44" s="27"/>
      <c r="D44" s="6"/>
      <c r="E44" s="6"/>
      <c r="F44" s="6"/>
      <c r="G44" s="6"/>
      <c r="H44" s="6"/>
    </row>
    <row r="45" spans="1:9" ht="15.75" x14ac:dyDescent="0.25">
      <c r="A45" s="28" t="s">
        <v>138</v>
      </c>
      <c r="B45" s="28"/>
      <c r="C45" s="28"/>
      <c r="D45" s="6"/>
      <c r="E45" s="6"/>
      <c r="F45" s="6"/>
      <c r="G45" s="6"/>
      <c r="H45" s="6"/>
    </row>
    <row r="46" spans="1:9" ht="15.75" x14ac:dyDescent="0.25">
      <c r="A46" s="27"/>
      <c r="B46" s="27"/>
      <c r="C46" s="27"/>
      <c r="D46" s="6"/>
      <c r="E46" s="6"/>
      <c r="F46" s="6"/>
      <c r="G46" s="6"/>
      <c r="H46" s="6"/>
    </row>
    <row r="47" spans="1:9" ht="15.75" x14ac:dyDescent="0.25">
      <c r="A47" s="27"/>
      <c r="B47" s="27"/>
      <c r="C47" s="27"/>
      <c r="D47" s="6"/>
      <c r="E47" s="6"/>
      <c r="F47" s="6"/>
      <c r="G47" s="6"/>
      <c r="H47" s="6"/>
    </row>
    <row r="48" spans="1:9" ht="18.75" x14ac:dyDescent="0.3">
      <c r="A48" s="50" t="s">
        <v>118</v>
      </c>
      <c r="B48" s="50"/>
      <c r="C48" s="50"/>
      <c r="D48" s="50"/>
      <c r="E48" s="50"/>
      <c r="F48" s="50"/>
      <c r="G48" s="50"/>
      <c r="H48" s="50"/>
    </row>
    <row r="49" spans="1:201" x14ac:dyDescent="0.25">
      <c r="A49" s="10"/>
      <c r="B49" s="10"/>
      <c r="C49" s="10"/>
      <c r="D49" s="10"/>
      <c r="E49" s="11"/>
      <c r="F49" s="10"/>
      <c r="G49" s="10"/>
      <c r="H49" s="10"/>
    </row>
    <row r="50" spans="1:201" ht="15.75" x14ac:dyDescent="0.25">
      <c r="A50" s="12"/>
      <c r="B50" s="13" t="s">
        <v>125</v>
      </c>
      <c r="C50" s="13" t="s">
        <v>125</v>
      </c>
      <c r="D50" s="13" t="s">
        <v>0</v>
      </c>
      <c r="E50" s="13" t="s">
        <v>0</v>
      </c>
      <c r="F50" s="13"/>
      <c r="G50" s="13" t="s">
        <v>126</v>
      </c>
      <c r="H50" s="13" t="s">
        <v>1</v>
      </c>
    </row>
    <row r="51" spans="1:201" ht="16.5" thickBot="1" x14ac:dyDescent="0.3">
      <c r="A51" s="12"/>
      <c r="B51" s="14" t="s">
        <v>2</v>
      </c>
      <c r="C51" s="14" t="s">
        <v>3</v>
      </c>
      <c r="D51" s="14" t="s">
        <v>2</v>
      </c>
      <c r="E51" s="14" t="s">
        <v>3</v>
      </c>
      <c r="F51" s="14"/>
      <c r="G51" s="14" t="s">
        <v>2</v>
      </c>
      <c r="H51" s="14" t="s">
        <v>4</v>
      </c>
    </row>
    <row r="52" spans="1:201" ht="16.5" thickBot="1" x14ac:dyDescent="0.3">
      <c r="A52" s="29" t="s">
        <v>40</v>
      </c>
      <c r="B52" s="29"/>
      <c r="C52" s="29"/>
      <c r="D52" s="4"/>
      <c r="E52" s="4"/>
      <c r="F52" s="4"/>
      <c r="G52" s="4"/>
      <c r="H52" s="4"/>
    </row>
    <row r="53" spans="1:201" ht="16.5" thickBot="1" x14ac:dyDescent="0.3">
      <c r="A53" s="30" t="s">
        <v>41</v>
      </c>
      <c r="B53" s="31"/>
      <c r="C53" s="31"/>
      <c r="D53" s="4"/>
      <c r="E53" s="4"/>
      <c r="F53" s="4"/>
      <c r="G53" s="4"/>
      <c r="H53" s="4"/>
    </row>
    <row r="54" spans="1:201" ht="15.75" x14ac:dyDescent="0.25">
      <c r="A54" s="12" t="s">
        <v>42</v>
      </c>
      <c r="B54" s="17">
        <v>10500</v>
      </c>
      <c r="C54" s="17">
        <v>10500</v>
      </c>
      <c r="D54" s="4">
        <v>11500</v>
      </c>
      <c r="E54" s="4">
        <v>11765.75</v>
      </c>
      <c r="F54" s="4"/>
      <c r="G54" s="4">
        <v>12000</v>
      </c>
      <c r="H54" s="4">
        <f t="shared" ref="H54:H68" si="3">D54-E54</f>
        <v>-265.75</v>
      </c>
    </row>
    <row r="55" spans="1:201" ht="15.75" x14ac:dyDescent="0.25">
      <c r="A55" s="12" t="s">
        <v>43</v>
      </c>
      <c r="B55" s="17">
        <v>4000</v>
      </c>
      <c r="C55" s="17">
        <v>14169</v>
      </c>
      <c r="D55" s="4">
        <v>4000</v>
      </c>
      <c r="E55" s="4">
        <f>3184+85.81</f>
        <v>3269.81</v>
      </c>
      <c r="F55" s="4"/>
      <c r="G55" s="4">
        <v>3000</v>
      </c>
      <c r="H55" s="4" t="e">
        <f>D55-#REF!</f>
        <v>#REF!</v>
      </c>
    </row>
    <row r="56" spans="1:201" ht="15.75" x14ac:dyDescent="0.25">
      <c r="A56" s="12" t="s">
        <v>44</v>
      </c>
      <c r="B56" s="17">
        <v>2000</v>
      </c>
      <c r="C56" s="4">
        <v>0</v>
      </c>
      <c r="D56" s="4">
        <v>1800</v>
      </c>
      <c r="E56" s="4">
        <v>1818</v>
      </c>
      <c r="F56" s="4"/>
      <c r="G56" s="4">
        <v>1818</v>
      </c>
      <c r="H56" s="4">
        <f t="shared" si="3"/>
        <v>-18</v>
      </c>
    </row>
    <row r="57" spans="1:201" ht="15.75" x14ac:dyDescent="0.25">
      <c r="A57" s="12" t="s">
        <v>45</v>
      </c>
      <c r="B57" s="17">
        <v>1800</v>
      </c>
      <c r="C57" s="17">
        <v>1642</v>
      </c>
      <c r="D57" s="4">
        <v>1500</v>
      </c>
      <c r="E57" s="4">
        <f>497.75+101.47</f>
        <v>599.22</v>
      </c>
      <c r="F57" s="4"/>
      <c r="G57" s="4">
        <v>600</v>
      </c>
      <c r="H57" s="4">
        <f t="shared" si="3"/>
        <v>900.78</v>
      </c>
    </row>
    <row r="58" spans="1:201" ht="15.75" x14ac:dyDescent="0.25">
      <c r="A58" s="12" t="s">
        <v>46</v>
      </c>
      <c r="B58" s="17">
        <v>2344</v>
      </c>
      <c r="C58" s="17">
        <v>0</v>
      </c>
      <c r="D58" s="4">
        <v>3200</v>
      </c>
      <c r="E58" s="4">
        <f>10699-7631</f>
        <v>3068</v>
      </c>
      <c r="F58" s="4"/>
      <c r="G58" s="4">
        <v>3100</v>
      </c>
      <c r="H58" s="4" t="s">
        <v>119</v>
      </c>
    </row>
    <row r="59" spans="1:201" ht="15.75" x14ac:dyDescent="0.25">
      <c r="A59" s="12" t="s">
        <v>47</v>
      </c>
      <c r="B59" s="17">
        <v>1600</v>
      </c>
      <c r="C59" s="17">
        <v>1520</v>
      </c>
      <c r="D59" s="4">
        <v>500</v>
      </c>
      <c r="E59" s="4">
        <f>1287.42+69.36-35.96+145.99</f>
        <v>1466.81</v>
      </c>
      <c r="F59" s="4"/>
      <c r="G59" s="4">
        <v>1200</v>
      </c>
      <c r="H59" s="4" t="e">
        <f>D59-#REF!</f>
        <v>#REF!</v>
      </c>
      <c r="GS59" t="s">
        <v>120</v>
      </c>
    </row>
    <row r="60" spans="1:201" ht="15.75" x14ac:dyDescent="0.25">
      <c r="A60" s="12" t="s">
        <v>48</v>
      </c>
      <c r="B60" s="17">
        <v>50</v>
      </c>
      <c r="C60" s="17">
        <v>100</v>
      </c>
      <c r="D60" s="4">
        <v>50</v>
      </c>
      <c r="E60" s="4">
        <f>105+60</f>
        <v>165</v>
      </c>
      <c r="F60" s="4"/>
      <c r="G60" s="4">
        <v>100</v>
      </c>
      <c r="H60" s="4">
        <f t="shared" si="3"/>
        <v>-115</v>
      </c>
    </row>
    <row r="61" spans="1:201" ht="15.75" x14ac:dyDescent="0.25">
      <c r="A61" s="12" t="s">
        <v>49</v>
      </c>
      <c r="B61" s="17">
        <v>1000</v>
      </c>
      <c r="C61" s="17">
        <v>250</v>
      </c>
      <c r="D61" s="4">
        <v>1000</v>
      </c>
      <c r="E61" s="4">
        <f>745+367.5</f>
        <v>1112.5</v>
      </c>
      <c r="F61" s="4"/>
      <c r="G61" s="4">
        <v>1000</v>
      </c>
      <c r="H61" s="4">
        <f t="shared" si="3"/>
        <v>-112.5</v>
      </c>
    </row>
    <row r="62" spans="1:201" ht="15.75" x14ac:dyDescent="0.25">
      <c r="A62" s="12" t="s">
        <v>50</v>
      </c>
      <c r="B62" s="17">
        <v>39500</v>
      </c>
      <c r="C62" s="17">
        <v>31323</v>
      </c>
      <c r="D62" s="4">
        <v>29600</v>
      </c>
      <c r="E62" s="4">
        <f>8148.86+10331.66+2819</f>
        <v>21299.52</v>
      </c>
      <c r="F62" s="4"/>
      <c r="G62" s="4">
        <v>28000</v>
      </c>
      <c r="H62" s="4" t="e">
        <f>D62-#REF!</f>
        <v>#REF!</v>
      </c>
    </row>
    <row r="63" spans="1:201" ht="15.75" x14ac:dyDescent="0.25">
      <c r="A63" s="12" t="s">
        <v>51</v>
      </c>
      <c r="B63" s="17">
        <v>3000</v>
      </c>
      <c r="C63" s="17">
        <v>1238</v>
      </c>
      <c r="D63" s="4">
        <v>2115</v>
      </c>
      <c r="E63" s="4">
        <f>1002.75+1231</f>
        <v>2233.75</v>
      </c>
      <c r="F63" s="4" t="s">
        <v>52</v>
      </c>
      <c r="G63" s="4">
        <v>3350</v>
      </c>
      <c r="H63" s="4" t="s">
        <v>121</v>
      </c>
    </row>
    <row r="64" spans="1:201" ht="15.75" x14ac:dyDescent="0.25">
      <c r="A64" s="12" t="s">
        <v>53</v>
      </c>
      <c r="B64" s="17">
        <v>900</v>
      </c>
      <c r="C64" s="17">
        <v>944</v>
      </c>
      <c r="D64" s="4">
        <v>1000</v>
      </c>
      <c r="E64" s="4">
        <v>768</v>
      </c>
      <c r="F64" s="4"/>
      <c r="G64" s="4">
        <v>950</v>
      </c>
      <c r="H64" s="4">
        <f t="shared" si="3"/>
        <v>232</v>
      </c>
    </row>
    <row r="65" spans="1:9" ht="15.75" x14ac:dyDescent="0.25">
      <c r="A65" s="12" t="s">
        <v>54</v>
      </c>
      <c r="B65" s="17">
        <v>200</v>
      </c>
      <c r="C65" s="17">
        <v>55</v>
      </c>
      <c r="D65" s="4">
        <v>100</v>
      </c>
      <c r="E65" s="4">
        <f>234.44+135.42</f>
        <v>369.86</v>
      </c>
      <c r="F65" s="4"/>
      <c r="G65" s="4">
        <v>250</v>
      </c>
      <c r="H65" s="4">
        <f t="shared" si="3"/>
        <v>-269.86</v>
      </c>
    </row>
    <row r="66" spans="1:9" ht="15.75" x14ac:dyDescent="0.25">
      <c r="A66" s="12" t="s">
        <v>55</v>
      </c>
      <c r="B66" s="17">
        <v>100</v>
      </c>
      <c r="C66" s="4">
        <v>0</v>
      </c>
      <c r="D66" s="4">
        <v>0</v>
      </c>
      <c r="E66" s="4">
        <v>194.21</v>
      </c>
      <c r="F66" s="4"/>
      <c r="G66" s="4">
        <v>100</v>
      </c>
      <c r="H66" s="4">
        <f t="shared" si="3"/>
        <v>-194.21</v>
      </c>
    </row>
    <row r="67" spans="1:9" ht="16.5" thickBot="1" x14ac:dyDescent="0.3">
      <c r="A67" s="12" t="s">
        <v>56</v>
      </c>
      <c r="B67" s="32">
        <v>1500</v>
      </c>
      <c r="C67" s="32">
        <f>480+498</f>
        <v>978</v>
      </c>
      <c r="D67" s="33">
        <v>0</v>
      </c>
      <c r="E67" s="33">
        <v>1170</v>
      </c>
      <c r="F67" s="33"/>
      <c r="G67" s="33">
        <v>0</v>
      </c>
      <c r="H67" s="33">
        <f t="shared" si="3"/>
        <v>-1170</v>
      </c>
    </row>
    <row r="68" spans="1:9" ht="16.5" thickBot="1" x14ac:dyDescent="0.3">
      <c r="A68" s="22" t="s">
        <v>57</v>
      </c>
      <c r="B68" s="17">
        <f>SUM(B54:B67)</f>
        <v>68494</v>
      </c>
      <c r="C68" s="17">
        <f>SUM(C54:C67)</f>
        <v>62719</v>
      </c>
      <c r="D68" s="4">
        <f>SUM(D54:D67)</f>
        <v>56365</v>
      </c>
      <c r="E68" s="4">
        <f>SUM(E54:E67)</f>
        <v>49300.43</v>
      </c>
      <c r="F68" s="4"/>
      <c r="G68" s="4">
        <f>SUM(G54:G67)</f>
        <v>55468</v>
      </c>
      <c r="H68" s="4">
        <f t="shared" si="3"/>
        <v>7064.57</v>
      </c>
    </row>
    <row r="69" spans="1:9" ht="15.75" x14ac:dyDescent="0.25">
      <c r="A69" s="18" t="s">
        <v>7</v>
      </c>
      <c r="B69" s="17"/>
      <c r="C69" s="17"/>
      <c r="D69" s="4"/>
      <c r="E69" s="4"/>
      <c r="F69" s="4"/>
      <c r="G69" s="4"/>
      <c r="H69" s="4"/>
    </row>
    <row r="70" spans="1:9" ht="15.75" x14ac:dyDescent="0.25">
      <c r="A70" s="12"/>
      <c r="B70" s="17"/>
      <c r="C70" s="17"/>
      <c r="D70" s="4"/>
      <c r="E70" s="4"/>
      <c r="F70" s="4"/>
      <c r="G70" s="4"/>
      <c r="H70" s="4"/>
    </row>
    <row r="71" spans="1:9" ht="15.75" x14ac:dyDescent="0.25">
      <c r="A71" s="12" t="s">
        <v>58</v>
      </c>
      <c r="B71" s="17">
        <v>12150</v>
      </c>
      <c r="C71" s="17">
        <v>6832.15</v>
      </c>
      <c r="D71" s="4">
        <v>0</v>
      </c>
      <c r="E71" s="4">
        <f>1085.26+164.29+993.75+440.43+382.72</f>
        <v>3066.45</v>
      </c>
      <c r="F71" s="4"/>
      <c r="G71" s="7">
        <v>11880</v>
      </c>
      <c r="H71" s="4">
        <f>D71-E71</f>
        <v>-3066.45</v>
      </c>
    </row>
    <row r="72" spans="1:9" ht="15.75" x14ac:dyDescent="0.25">
      <c r="A72" s="12" t="s">
        <v>59</v>
      </c>
      <c r="B72" s="17">
        <v>1200</v>
      </c>
      <c r="C72" s="17">
        <v>425</v>
      </c>
      <c r="D72" s="4">
        <v>0</v>
      </c>
      <c r="E72" s="4">
        <v>0</v>
      </c>
      <c r="F72" s="4"/>
      <c r="G72" s="7">
        <v>900</v>
      </c>
      <c r="H72" s="4">
        <f>D72-E72</f>
        <v>0</v>
      </c>
    </row>
    <row r="73" spans="1:9" ht="15.75" x14ac:dyDescent="0.25">
      <c r="A73" s="12" t="s">
        <v>60</v>
      </c>
      <c r="B73" s="17">
        <v>1125</v>
      </c>
      <c r="C73" s="17">
        <v>1128</v>
      </c>
      <c r="D73" s="4">
        <v>0</v>
      </c>
      <c r="E73" s="4">
        <f>16.99+79.98+30+61.44+115.32+30.71</f>
        <v>334.44</v>
      </c>
      <c r="F73" s="4"/>
      <c r="G73" s="7">
        <v>1100</v>
      </c>
      <c r="H73" s="4">
        <f>D73-E73</f>
        <v>-334.44</v>
      </c>
    </row>
    <row r="74" spans="1:9" ht="16.5" thickBot="1" x14ac:dyDescent="0.3">
      <c r="A74" s="12" t="s">
        <v>61</v>
      </c>
      <c r="B74" s="21">
        <v>975</v>
      </c>
      <c r="C74" s="21">
        <v>571.20000000000005</v>
      </c>
      <c r="D74" s="5">
        <v>0</v>
      </c>
      <c r="E74" s="5">
        <f>77+104.82</f>
        <v>181.82</v>
      </c>
      <c r="F74" s="5" t="s">
        <v>52</v>
      </c>
      <c r="G74" s="9">
        <v>914</v>
      </c>
      <c r="H74" s="4">
        <f>D74-E74</f>
        <v>-181.82</v>
      </c>
    </row>
    <row r="75" spans="1:9" ht="16.5" thickBot="1" x14ac:dyDescent="0.3">
      <c r="A75" s="22" t="s">
        <v>62</v>
      </c>
      <c r="B75" s="17">
        <f>SUM(B70:B74)</f>
        <v>15450</v>
      </c>
      <c r="C75" s="17">
        <f>SUM(C70:C74)</f>
        <v>8956.35</v>
      </c>
      <c r="D75" s="4">
        <f>SUM(D70:D74)</f>
        <v>0</v>
      </c>
      <c r="E75" s="4">
        <f>SUM(E70:E74)</f>
        <v>3582.71</v>
      </c>
      <c r="F75" s="4"/>
      <c r="G75" s="8">
        <f>SUM(G70:G74)</f>
        <v>14794</v>
      </c>
      <c r="H75" s="4">
        <f>SUM(H70:H74)</f>
        <v>-3582.71</v>
      </c>
      <c r="I75" s="3"/>
    </row>
    <row r="76" spans="1:9" ht="15.75" x14ac:dyDescent="0.25">
      <c r="A76" s="12"/>
      <c r="B76" s="17"/>
      <c r="C76" s="17"/>
      <c r="D76" s="4"/>
      <c r="E76" s="4"/>
      <c r="F76" s="4"/>
      <c r="G76" s="4"/>
      <c r="H76" s="4"/>
    </row>
    <row r="77" spans="1:9" ht="15.75" x14ac:dyDescent="0.25">
      <c r="A77" s="18" t="s">
        <v>8</v>
      </c>
      <c r="B77" s="17"/>
      <c r="C77" s="17"/>
      <c r="D77" s="4"/>
      <c r="E77" s="4"/>
      <c r="F77" s="4"/>
      <c r="G77" s="4"/>
      <c r="H77" s="4"/>
    </row>
    <row r="78" spans="1:9" ht="15.75" x14ac:dyDescent="0.25">
      <c r="A78" s="12" t="s">
        <v>63</v>
      </c>
      <c r="B78" s="17">
        <v>3000</v>
      </c>
      <c r="C78" s="17">
        <v>854</v>
      </c>
      <c r="D78" s="4">
        <v>1000</v>
      </c>
      <c r="E78" s="4">
        <f>151.35+231.84+150.56+108.54+67.21</f>
        <v>709.5</v>
      </c>
      <c r="F78" s="4"/>
      <c r="G78" s="4">
        <v>1000</v>
      </c>
      <c r="H78" s="4">
        <f t="shared" ref="H78:H90" si="4">D78-E78</f>
        <v>290.5</v>
      </c>
    </row>
    <row r="79" spans="1:9" ht="15.75" x14ac:dyDescent="0.25">
      <c r="A79" s="12" t="s">
        <v>64</v>
      </c>
      <c r="B79" s="21"/>
      <c r="C79" s="21">
        <v>1901</v>
      </c>
      <c r="D79" s="5">
        <v>3000</v>
      </c>
      <c r="E79" s="5">
        <v>0</v>
      </c>
      <c r="F79" s="5"/>
      <c r="G79" s="5">
        <v>2000</v>
      </c>
      <c r="H79" s="5">
        <f t="shared" si="4"/>
        <v>3000</v>
      </c>
    </row>
    <row r="80" spans="1:9" ht="15.75" x14ac:dyDescent="0.25">
      <c r="A80" s="34" t="s">
        <v>65</v>
      </c>
      <c r="B80" s="17">
        <f>SUM(B78:B79)</f>
        <v>3000</v>
      </c>
      <c r="C80" s="17">
        <f>SUM(C78:C79)</f>
        <v>2755</v>
      </c>
      <c r="D80" s="4">
        <f>SUM(D78:D79)</f>
        <v>4000</v>
      </c>
      <c r="E80" s="4">
        <f>SUM(E78:E79)</f>
        <v>709.5</v>
      </c>
      <c r="F80" s="4"/>
      <c r="G80" s="4">
        <f>SUM(G78:G79)</f>
        <v>3000</v>
      </c>
      <c r="H80" s="4">
        <f t="shared" si="4"/>
        <v>3290.5</v>
      </c>
    </row>
    <row r="81" spans="1:8" ht="15.75" x14ac:dyDescent="0.25">
      <c r="A81" s="12" t="s">
        <v>66</v>
      </c>
      <c r="B81" s="17">
        <v>12000</v>
      </c>
      <c r="C81" s="17">
        <f>5704.75+5690</f>
        <v>11394.75</v>
      </c>
      <c r="D81" s="4">
        <v>12000</v>
      </c>
      <c r="E81" s="4"/>
      <c r="F81" s="4"/>
      <c r="G81" s="4">
        <v>12000</v>
      </c>
      <c r="H81" s="4">
        <f t="shared" si="4"/>
        <v>12000</v>
      </c>
    </row>
    <row r="82" spans="1:8" ht="15.75" x14ac:dyDescent="0.25">
      <c r="A82" s="12" t="s">
        <v>67</v>
      </c>
      <c r="B82" s="17">
        <v>500</v>
      </c>
      <c r="C82" s="4">
        <v>0</v>
      </c>
      <c r="D82" s="4">
        <v>500</v>
      </c>
      <c r="E82" s="4">
        <v>500</v>
      </c>
      <c r="F82" s="4"/>
      <c r="G82" s="4">
        <v>500</v>
      </c>
      <c r="H82" s="4">
        <f t="shared" si="4"/>
        <v>0</v>
      </c>
    </row>
    <row r="83" spans="1:8" ht="15.75" x14ac:dyDescent="0.25">
      <c r="A83" s="12" t="s">
        <v>68</v>
      </c>
      <c r="B83" s="21">
        <v>500</v>
      </c>
      <c r="C83" s="21">
        <v>185</v>
      </c>
      <c r="D83" s="5">
        <v>200</v>
      </c>
      <c r="E83" s="5">
        <v>85.06</v>
      </c>
      <c r="F83" s="5"/>
      <c r="G83" s="5">
        <v>85</v>
      </c>
      <c r="H83" s="5">
        <f t="shared" si="4"/>
        <v>114.94</v>
      </c>
    </row>
    <row r="84" spans="1:8" ht="15.75" x14ac:dyDescent="0.25">
      <c r="A84" s="34" t="s">
        <v>69</v>
      </c>
      <c r="B84" s="17">
        <f>SUM(B81:B83)</f>
        <v>13000</v>
      </c>
      <c r="C84" s="17">
        <f>SUM(C81:C83)</f>
        <v>11579.75</v>
      </c>
      <c r="D84" s="4">
        <f>SUM(D81:D83)</f>
        <v>12700</v>
      </c>
      <c r="E84" s="4">
        <f>SUM(E81:E83)</f>
        <v>585.05999999999995</v>
      </c>
      <c r="F84" s="4"/>
      <c r="G84" s="4">
        <f>SUM(G81:G83)</f>
        <v>12585</v>
      </c>
      <c r="H84" s="4">
        <f t="shared" si="4"/>
        <v>12114.94</v>
      </c>
    </row>
    <row r="85" spans="1:8" ht="15.75" x14ac:dyDescent="0.25">
      <c r="A85" s="12" t="s">
        <v>70</v>
      </c>
      <c r="B85" s="17">
        <v>34000</v>
      </c>
      <c r="C85" s="17">
        <v>50000</v>
      </c>
      <c r="D85" s="4">
        <v>20000</v>
      </c>
      <c r="E85" s="4">
        <v>25000</v>
      </c>
      <c r="F85" s="4"/>
      <c r="G85" s="4">
        <v>25000</v>
      </c>
      <c r="H85" s="4">
        <f t="shared" si="4"/>
        <v>-5000</v>
      </c>
    </row>
    <row r="86" spans="1:8" ht="15.75" x14ac:dyDescent="0.25">
      <c r="A86" s="12" t="s">
        <v>71</v>
      </c>
      <c r="B86" s="17">
        <v>10000</v>
      </c>
      <c r="C86" s="17">
        <v>0</v>
      </c>
      <c r="D86" s="4">
        <v>0</v>
      </c>
      <c r="E86" s="4">
        <v>0</v>
      </c>
      <c r="F86" s="4"/>
      <c r="G86" s="4">
        <v>5000</v>
      </c>
      <c r="H86" s="4">
        <f t="shared" si="4"/>
        <v>0</v>
      </c>
    </row>
    <row r="87" spans="1:8" ht="15.75" x14ac:dyDescent="0.25">
      <c r="A87" s="12" t="s">
        <v>72</v>
      </c>
      <c r="B87" s="17">
        <v>100</v>
      </c>
      <c r="C87" s="17">
        <v>274.82</v>
      </c>
      <c r="D87" s="4">
        <v>100</v>
      </c>
      <c r="E87" s="4">
        <v>0</v>
      </c>
      <c r="F87" s="4"/>
      <c r="G87" s="4">
        <v>100</v>
      </c>
      <c r="H87" s="4">
        <f t="shared" si="4"/>
        <v>100</v>
      </c>
    </row>
    <row r="88" spans="1:8" ht="15.75" x14ac:dyDescent="0.25">
      <c r="A88" s="12" t="s">
        <v>12</v>
      </c>
      <c r="B88" s="17">
        <v>40000</v>
      </c>
      <c r="C88" s="17">
        <v>27500</v>
      </c>
      <c r="D88" s="4">
        <v>20000</v>
      </c>
      <c r="E88" s="4">
        <f>26000+5000</f>
        <v>31000</v>
      </c>
      <c r="F88" s="4"/>
      <c r="G88" s="4">
        <v>25000</v>
      </c>
      <c r="H88" s="4">
        <f t="shared" si="4"/>
        <v>-11000</v>
      </c>
    </row>
    <row r="89" spans="1:8" ht="16.5" thickBot="1" x14ac:dyDescent="0.3">
      <c r="A89" s="12" t="s">
        <v>73</v>
      </c>
      <c r="B89" s="21">
        <v>100</v>
      </c>
      <c r="C89" s="21">
        <v>0</v>
      </c>
      <c r="D89" s="5">
        <v>100</v>
      </c>
      <c r="E89" s="5">
        <v>0</v>
      </c>
      <c r="F89" s="5"/>
      <c r="G89" s="5">
        <v>100</v>
      </c>
      <c r="H89" s="5">
        <f t="shared" si="4"/>
        <v>100</v>
      </c>
    </row>
    <row r="90" spans="1:8" ht="16.5" thickBot="1" x14ac:dyDescent="0.3">
      <c r="A90" s="22" t="s">
        <v>13</v>
      </c>
      <c r="B90" s="17">
        <f>B80+B84+B85+B86+B87+B88+B89</f>
        <v>100200</v>
      </c>
      <c r="C90" s="17">
        <f>C80+C84+C85+C86+C87+C88+C89</f>
        <v>92109.57</v>
      </c>
      <c r="D90" s="4">
        <f>D80+D84+D85+D86+D87+D88+D89</f>
        <v>56900</v>
      </c>
      <c r="E90" s="4">
        <f>E80+E84+E85+E86+E87+E88+E89</f>
        <v>57294.559999999998</v>
      </c>
      <c r="F90" s="4"/>
      <c r="G90" s="4">
        <f>G80+G84+G85+G86+G87+G88+G89</f>
        <v>70785</v>
      </c>
      <c r="H90" s="4">
        <f t="shared" si="4"/>
        <v>-394.55999999999767</v>
      </c>
    </row>
    <row r="91" spans="1:8" ht="15.75" x14ac:dyDescent="0.25">
      <c r="A91" s="35"/>
      <c r="B91" s="35"/>
      <c r="C91" s="35"/>
      <c r="D91" s="4"/>
      <c r="E91" s="4"/>
      <c r="F91" s="4"/>
      <c r="G91" s="4"/>
      <c r="H91" s="4"/>
    </row>
    <row r="92" spans="1:8" ht="15.75" x14ac:dyDescent="0.25">
      <c r="A92" s="35"/>
      <c r="B92" s="35"/>
      <c r="C92" s="35"/>
      <c r="D92" s="4"/>
      <c r="E92" s="4"/>
      <c r="F92" s="4"/>
      <c r="G92" s="4"/>
      <c r="H92" s="4"/>
    </row>
    <row r="93" spans="1:8" ht="15.75" x14ac:dyDescent="0.25">
      <c r="A93" s="35"/>
      <c r="B93" s="35"/>
      <c r="C93" s="35"/>
      <c r="D93" s="4"/>
      <c r="E93" s="4"/>
      <c r="F93" s="4"/>
      <c r="G93" s="4"/>
      <c r="H93" s="4"/>
    </row>
    <row r="94" spans="1:8" ht="15.75" x14ac:dyDescent="0.25">
      <c r="A94" s="35"/>
      <c r="B94" s="35"/>
      <c r="C94" s="35"/>
      <c r="D94" s="4"/>
      <c r="E94" s="4"/>
      <c r="F94" s="4"/>
      <c r="G94" s="4"/>
      <c r="H94" s="4"/>
    </row>
    <row r="95" spans="1:8" ht="18.75" x14ac:dyDescent="0.3">
      <c r="A95" s="50" t="s">
        <v>118</v>
      </c>
      <c r="B95" s="50"/>
      <c r="C95" s="50"/>
      <c r="D95" s="50"/>
      <c r="E95" s="50"/>
      <c r="F95" s="50"/>
      <c r="G95" s="50"/>
      <c r="H95" s="50"/>
    </row>
    <row r="96" spans="1:8" x14ac:dyDescent="0.25">
      <c r="A96" s="10"/>
      <c r="B96" s="10"/>
      <c r="C96" s="10"/>
      <c r="D96" s="10"/>
      <c r="E96" s="11"/>
      <c r="F96" s="10"/>
      <c r="G96" s="10"/>
      <c r="H96" s="10"/>
    </row>
    <row r="97" spans="1:8" ht="15.75" x14ac:dyDescent="0.25">
      <c r="A97" s="12"/>
      <c r="B97" s="13" t="s">
        <v>125</v>
      </c>
      <c r="C97" s="13" t="s">
        <v>125</v>
      </c>
      <c r="D97" s="13" t="s">
        <v>0</v>
      </c>
      <c r="E97" s="13" t="s">
        <v>0</v>
      </c>
      <c r="F97" s="13"/>
      <c r="G97" s="13" t="s">
        <v>126</v>
      </c>
      <c r="H97" s="13" t="s">
        <v>1</v>
      </c>
    </row>
    <row r="98" spans="1:8" ht="16.5" thickBot="1" x14ac:dyDescent="0.3">
      <c r="A98" s="12"/>
      <c r="B98" s="14" t="s">
        <v>2</v>
      </c>
      <c r="C98" s="14" t="s">
        <v>3</v>
      </c>
      <c r="D98" s="14" t="s">
        <v>2</v>
      </c>
      <c r="E98" s="14" t="s">
        <v>3</v>
      </c>
      <c r="F98" s="14"/>
      <c r="G98" s="14" t="s">
        <v>2</v>
      </c>
      <c r="H98" s="14" t="s">
        <v>4</v>
      </c>
    </row>
    <row r="99" spans="1:8" ht="15.75" x14ac:dyDescent="0.25">
      <c r="A99" s="18" t="s">
        <v>14</v>
      </c>
      <c r="B99" s="18"/>
      <c r="C99" s="18"/>
      <c r="D99" s="4"/>
      <c r="E99" s="4"/>
      <c r="F99" s="4"/>
      <c r="G99" s="4"/>
      <c r="H99" s="4"/>
    </row>
    <row r="100" spans="1:8" ht="15.75" x14ac:dyDescent="0.25">
      <c r="A100" s="12" t="s">
        <v>74</v>
      </c>
      <c r="B100" s="17">
        <v>200</v>
      </c>
      <c r="C100" s="17">
        <v>37.64</v>
      </c>
      <c r="D100" s="4">
        <v>70</v>
      </c>
      <c r="E100" s="4">
        <v>90</v>
      </c>
      <c r="F100" s="4"/>
      <c r="G100" s="4">
        <v>70</v>
      </c>
      <c r="H100" s="4">
        <f t="shared" ref="H100:H105" si="5">D100-E100</f>
        <v>-20</v>
      </c>
    </row>
    <row r="101" spans="1:8" ht="15.75" x14ac:dyDescent="0.25">
      <c r="A101" s="12" t="s">
        <v>55</v>
      </c>
      <c r="B101" s="17">
        <v>30</v>
      </c>
      <c r="C101" s="4">
        <v>0</v>
      </c>
      <c r="D101" s="4">
        <v>0</v>
      </c>
      <c r="E101" s="4">
        <v>0</v>
      </c>
      <c r="F101" s="4"/>
      <c r="G101" s="4">
        <v>0</v>
      </c>
      <c r="H101" s="4">
        <f t="shared" si="5"/>
        <v>0</v>
      </c>
    </row>
    <row r="102" spans="1:8" ht="15.75" x14ac:dyDescent="0.25">
      <c r="A102" s="12" t="s">
        <v>75</v>
      </c>
      <c r="B102" s="4">
        <v>0</v>
      </c>
      <c r="C102" s="4">
        <v>0</v>
      </c>
      <c r="D102" s="4">
        <v>400</v>
      </c>
      <c r="E102" s="4">
        <f>122+7.43</f>
        <v>129.43</v>
      </c>
      <c r="F102" s="4"/>
      <c r="G102" s="4">
        <v>400</v>
      </c>
      <c r="H102" s="4">
        <f t="shared" si="5"/>
        <v>270.57</v>
      </c>
    </row>
    <row r="103" spans="1:8" ht="15.75" x14ac:dyDescent="0.25">
      <c r="A103" s="12" t="s">
        <v>61</v>
      </c>
      <c r="B103" s="17">
        <v>1500</v>
      </c>
      <c r="C103" s="17">
        <v>1865.8</v>
      </c>
      <c r="D103" s="4">
        <f>0.0635*D14</f>
        <v>440.81700000000001</v>
      </c>
      <c r="E103" s="20">
        <f>238+43.18+7.4</f>
        <v>288.58</v>
      </c>
      <c r="F103" s="4"/>
      <c r="G103" s="4">
        <v>826</v>
      </c>
      <c r="H103" s="4">
        <f>D103-E103</f>
        <v>152.23700000000002</v>
      </c>
    </row>
    <row r="104" spans="1:8" ht="16.5" thickBot="1" x14ac:dyDescent="0.3">
      <c r="A104" s="12" t="s">
        <v>76</v>
      </c>
      <c r="B104" s="21">
        <v>70</v>
      </c>
      <c r="C104" s="21">
        <v>0</v>
      </c>
      <c r="D104" s="5">
        <v>30</v>
      </c>
      <c r="E104" s="5">
        <v>0</v>
      </c>
      <c r="F104" s="5"/>
      <c r="G104" s="5">
        <v>80</v>
      </c>
      <c r="H104" s="5">
        <f>D104-E104</f>
        <v>30</v>
      </c>
    </row>
    <row r="105" spans="1:8" ht="16.5" thickBot="1" x14ac:dyDescent="0.3">
      <c r="A105" s="22" t="s">
        <v>77</v>
      </c>
      <c r="B105" s="17">
        <f>SUM(B100:B104)</f>
        <v>1800</v>
      </c>
      <c r="C105" s="17">
        <f>SUM(C100:C104)</f>
        <v>1903.44</v>
      </c>
      <c r="D105" s="4">
        <f>SUM(D100:D104)</f>
        <v>940.81700000000001</v>
      </c>
      <c r="E105" s="4">
        <f>SUM(E100:E103)</f>
        <v>508.01</v>
      </c>
      <c r="F105" s="4"/>
      <c r="G105" s="4">
        <f>SUM(G100:G103)</f>
        <v>1296</v>
      </c>
      <c r="H105" s="4">
        <f t="shared" si="5"/>
        <v>432.80700000000002</v>
      </c>
    </row>
    <row r="106" spans="1:8" ht="16.5" thickBot="1" x14ac:dyDescent="0.3">
      <c r="A106" s="12"/>
      <c r="B106" s="17"/>
      <c r="C106" s="17"/>
      <c r="D106" s="4"/>
      <c r="E106" s="4"/>
      <c r="F106" s="4"/>
      <c r="G106" s="4"/>
      <c r="H106" s="4"/>
    </row>
    <row r="107" spans="1:8" ht="16.5" thickBot="1" x14ac:dyDescent="0.3">
      <c r="A107" s="36" t="s">
        <v>78</v>
      </c>
      <c r="B107" s="17">
        <v>9500</v>
      </c>
      <c r="C107" s="17">
        <v>11441</v>
      </c>
      <c r="D107" s="4">
        <v>9000</v>
      </c>
      <c r="E107" s="4">
        <v>11409.71</v>
      </c>
      <c r="F107" s="4" t="s">
        <v>52</v>
      </c>
      <c r="G107" s="4">
        <v>11000</v>
      </c>
      <c r="H107" s="4">
        <f>D107-E107</f>
        <v>-2409.7099999999991</v>
      </c>
    </row>
    <row r="108" spans="1:8" ht="15.75" x14ac:dyDescent="0.25">
      <c r="A108" s="12"/>
      <c r="B108" s="17"/>
      <c r="C108" s="17"/>
      <c r="D108" s="4"/>
      <c r="E108" s="4"/>
      <c r="F108" s="4"/>
      <c r="G108" s="4"/>
      <c r="H108" s="4"/>
    </row>
    <row r="109" spans="1:8" ht="15.75" x14ac:dyDescent="0.25">
      <c r="A109" s="18" t="s">
        <v>79</v>
      </c>
      <c r="B109" s="17"/>
      <c r="C109" s="17"/>
      <c r="D109" s="4"/>
      <c r="E109" s="4"/>
      <c r="F109" s="4"/>
      <c r="G109" s="4"/>
      <c r="H109" s="4"/>
    </row>
    <row r="110" spans="1:8" ht="15.75" x14ac:dyDescent="0.25">
      <c r="A110" s="12" t="s">
        <v>80</v>
      </c>
      <c r="B110" s="17">
        <v>17000</v>
      </c>
      <c r="C110" s="17">
        <v>4128</v>
      </c>
      <c r="D110" s="4">
        <v>12000</v>
      </c>
      <c r="E110" s="4">
        <f>7830.63+840</f>
        <v>8670.630000000001</v>
      </c>
      <c r="F110" s="4"/>
      <c r="G110" s="7">
        <v>12000</v>
      </c>
      <c r="H110" s="4">
        <f t="shared" ref="H110:H116" si="6">D110-E110</f>
        <v>3329.369999999999</v>
      </c>
    </row>
    <row r="111" spans="1:8" ht="15.75" x14ac:dyDescent="0.25">
      <c r="A111" s="12" t="s">
        <v>75</v>
      </c>
      <c r="B111" s="17"/>
      <c r="C111" s="17">
        <v>2852</v>
      </c>
      <c r="D111" s="4">
        <v>1000</v>
      </c>
      <c r="E111" s="4">
        <v>211.64</v>
      </c>
      <c r="F111" s="4"/>
      <c r="G111" s="7">
        <v>3500</v>
      </c>
      <c r="H111" s="4">
        <f t="shared" si="6"/>
        <v>788.36</v>
      </c>
    </row>
    <row r="112" spans="1:8" ht="15.75" x14ac:dyDescent="0.25">
      <c r="A112" s="12" t="s">
        <v>81</v>
      </c>
      <c r="B112" s="17">
        <v>1000</v>
      </c>
      <c r="C112" s="17">
        <v>627.92999999999995</v>
      </c>
      <c r="D112" s="4">
        <v>750</v>
      </c>
      <c r="E112" s="4">
        <v>265.5</v>
      </c>
      <c r="F112" s="4"/>
      <c r="G112" s="7">
        <v>500</v>
      </c>
      <c r="H112" s="4">
        <f t="shared" si="6"/>
        <v>484.5</v>
      </c>
    </row>
    <row r="113" spans="1:33" ht="15.75" x14ac:dyDescent="0.25">
      <c r="A113" s="12" t="s">
        <v>82</v>
      </c>
      <c r="B113" s="17">
        <v>2000</v>
      </c>
      <c r="C113" s="17"/>
      <c r="D113" s="4">
        <v>2000</v>
      </c>
      <c r="E113" s="4">
        <f>258.22+95.91+424.28+367.5+72+29.5</f>
        <v>1247.4099999999999</v>
      </c>
      <c r="F113" s="4"/>
      <c r="G113" s="7">
        <v>2500</v>
      </c>
      <c r="H113" s="4">
        <f t="shared" si="6"/>
        <v>752.59000000000015</v>
      </c>
    </row>
    <row r="114" spans="1:33" ht="15.75" x14ac:dyDescent="0.25">
      <c r="A114" s="12" t="s">
        <v>83</v>
      </c>
      <c r="B114" s="17">
        <v>5000</v>
      </c>
      <c r="C114" s="17">
        <v>15660.63</v>
      </c>
      <c r="D114" s="4">
        <v>0</v>
      </c>
      <c r="E114" s="4"/>
      <c r="F114" s="4"/>
      <c r="G114" s="7"/>
      <c r="H114" s="4">
        <f t="shared" si="6"/>
        <v>0</v>
      </c>
    </row>
    <row r="115" spans="1:33" ht="16.5" thickBot="1" x14ac:dyDescent="0.3">
      <c r="A115" s="12" t="s">
        <v>124</v>
      </c>
      <c r="B115" s="21">
        <v>0</v>
      </c>
      <c r="C115" s="21">
        <v>5582</v>
      </c>
      <c r="D115" s="5">
        <v>0</v>
      </c>
      <c r="E115" s="5">
        <v>430</v>
      </c>
      <c r="F115" s="5"/>
      <c r="G115" s="9">
        <v>0</v>
      </c>
      <c r="H115" s="5">
        <f t="shared" si="6"/>
        <v>-430</v>
      </c>
    </row>
    <row r="116" spans="1:33" ht="16.5" thickBot="1" x14ac:dyDescent="0.3">
      <c r="A116" s="22" t="s">
        <v>84</v>
      </c>
      <c r="B116" s="17">
        <f>SUM(B110:B115)</f>
        <v>25000</v>
      </c>
      <c r="C116" s="17">
        <f>SUM(C110:C115)</f>
        <v>28850.559999999998</v>
      </c>
      <c r="D116" s="4">
        <f>SUM(D110:D115)</f>
        <v>15750</v>
      </c>
      <c r="E116" s="4">
        <f>SUM(E110:E115)</f>
        <v>10825.18</v>
      </c>
      <c r="F116" s="4"/>
      <c r="G116" s="8">
        <f>SUM(G110:G115)</f>
        <v>18500</v>
      </c>
      <c r="H116" s="4">
        <f t="shared" si="6"/>
        <v>4924.82</v>
      </c>
      <c r="I116" s="3"/>
    </row>
    <row r="117" spans="1:33" ht="15.75" x14ac:dyDescent="0.25">
      <c r="A117" s="12"/>
      <c r="B117" s="17"/>
      <c r="C117" s="17"/>
      <c r="D117" s="4"/>
      <c r="E117" s="4"/>
      <c r="F117" s="4"/>
      <c r="G117" s="4"/>
      <c r="H117" s="4"/>
    </row>
    <row r="118" spans="1:33" ht="15.75" x14ac:dyDescent="0.25">
      <c r="A118" s="18" t="s">
        <v>85</v>
      </c>
      <c r="B118" s="17"/>
      <c r="C118" s="17"/>
      <c r="D118" s="4"/>
      <c r="E118" s="4"/>
      <c r="F118" s="4"/>
      <c r="G118" s="4"/>
      <c r="H118" s="4"/>
    </row>
    <row r="119" spans="1:33" ht="15.75" x14ac:dyDescent="0.25">
      <c r="A119" s="12" t="s">
        <v>86</v>
      </c>
      <c r="B119" s="17">
        <v>7466</v>
      </c>
      <c r="C119" s="17">
        <v>7133</v>
      </c>
      <c r="D119" s="4">
        <v>7500</v>
      </c>
      <c r="E119" s="4">
        <v>7631</v>
      </c>
      <c r="F119" s="4"/>
      <c r="G119" s="37">
        <f>5460+2625</f>
        <v>8085</v>
      </c>
      <c r="H119" s="4">
        <f t="shared" ref="H119:H127" si="7">D119-E119</f>
        <v>-131</v>
      </c>
    </row>
    <row r="120" spans="1:33" ht="15.75" x14ac:dyDescent="0.25">
      <c r="A120" s="12" t="s">
        <v>87</v>
      </c>
      <c r="B120" s="4">
        <v>0</v>
      </c>
      <c r="C120" s="17">
        <v>6165.17</v>
      </c>
      <c r="D120" s="4">
        <v>0</v>
      </c>
      <c r="E120" s="4">
        <v>0</v>
      </c>
      <c r="F120" s="4"/>
      <c r="G120" s="4">
        <v>0</v>
      </c>
      <c r="H120" s="4">
        <f t="shared" si="7"/>
        <v>0</v>
      </c>
    </row>
    <row r="121" spans="1:33" ht="15.75" x14ac:dyDescent="0.25">
      <c r="A121" s="12" t="s">
        <v>88</v>
      </c>
      <c r="B121" s="4">
        <v>0</v>
      </c>
      <c r="C121" s="17">
        <v>-4910</v>
      </c>
      <c r="D121" s="4">
        <v>0</v>
      </c>
      <c r="E121" s="4">
        <v>0</v>
      </c>
      <c r="F121" s="4"/>
      <c r="G121" s="4">
        <v>0</v>
      </c>
      <c r="H121" s="4">
        <f t="shared" si="7"/>
        <v>0</v>
      </c>
    </row>
    <row r="122" spans="1:33" ht="15.75" x14ac:dyDescent="0.25">
      <c r="A122" s="12" t="s">
        <v>75</v>
      </c>
      <c r="B122" s="17">
        <v>20000</v>
      </c>
      <c r="C122" s="17">
        <v>8171.57</v>
      </c>
      <c r="D122" s="4">
        <v>8000</v>
      </c>
      <c r="E122" s="4">
        <f>2628+3788.4+450+2172.6+225+31.89+2611</f>
        <v>11906.89</v>
      </c>
      <c r="F122" s="4"/>
      <c r="G122" s="4">
        <v>13000</v>
      </c>
      <c r="H122" s="4" t="e">
        <f>D122-#REF!</f>
        <v>#REF!</v>
      </c>
    </row>
    <row r="123" spans="1:33" ht="15.75" x14ac:dyDescent="0.25">
      <c r="A123" s="12" t="s">
        <v>76</v>
      </c>
      <c r="B123" s="17">
        <v>750</v>
      </c>
      <c r="C123" s="17">
        <v>1395.81</v>
      </c>
      <c r="D123" s="4">
        <v>1000</v>
      </c>
      <c r="E123" s="4">
        <f>257.08+101.79+89.72+588+41.98+48.58+36.97+96.98</f>
        <v>1261.1000000000001</v>
      </c>
      <c r="F123" s="4"/>
      <c r="G123" s="4">
        <v>1500</v>
      </c>
      <c r="H123" s="4">
        <f t="shared" si="7"/>
        <v>-261.10000000000014</v>
      </c>
    </row>
    <row r="124" spans="1:33" ht="15.75" x14ac:dyDescent="0.25">
      <c r="A124" s="12" t="s">
        <v>89</v>
      </c>
      <c r="B124" s="17">
        <v>450</v>
      </c>
      <c r="C124" s="17">
        <v>-150</v>
      </c>
      <c r="D124" s="4">
        <v>500</v>
      </c>
      <c r="E124" s="4">
        <v>80</v>
      </c>
      <c r="F124" s="4"/>
      <c r="G124" s="4">
        <v>0</v>
      </c>
      <c r="H124" s="4">
        <f>D124-E124</f>
        <v>420</v>
      </c>
    </row>
    <row r="125" spans="1:33" ht="15.75" x14ac:dyDescent="0.25">
      <c r="A125" s="12" t="s">
        <v>130</v>
      </c>
      <c r="B125" s="17">
        <v>18000</v>
      </c>
      <c r="C125" s="17">
        <v>17465</v>
      </c>
      <c r="D125" s="4">
        <v>18000</v>
      </c>
      <c r="E125" s="4">
        <f>345+20392.33+93.37+132.05+159.1</f>
        <v>21121.85</v>
      </c>
      <c r="F125" s="4"/>
      <c r="G125" s="4">
        <v>20000</v>
      </c>
      <c r="H125" s="4" t="e">
        <f>D125-#REF!</f>
        <v>#REF!</v>
      </c>
      <c r="AG125" t="s">
        <v>136</v>
      </c>
    </row>
    <row r="126" spans="1:33" ht="16.5" thickBot="1" x14ac:dyDescent="0.3">
      <c r="A126" s="12" t="s">
        <v>90</v>
      </c>
      <c r="B126" s="21">
        <v>1000</v>
      </c>
      <c r="C126" s="21">
        <v>0</v>
      </c>
      <c r="D126" s="5">
        <v>1000</v>
      </c>
      <c r="E126" s="5">
        <v>0</v>
      </c>
      <c r="F126" s="5"/>
      <c r="G126" s="5">
        <v>0</v>
      </c>
      <c r="H126" s="5">
        <f t="shared" si="7"/>
        <v>1000</v>
      </c>
    </row>
    <row r="127" spans="1:33" ht="16.5" thickBot="1" x14ac:dyDescent="0.3">
      <c r="A127" s="22" t="s">
        <v>91</v>
      </c>
      <c r="B127" s="17">
        <f>SUM(B119:B126)</f>
        <v>47666</v>
      </c>
      <c r="C127" s="17">
        <f>SUM(C119:C126)</f>
        <v>35270.550000000003</v>
      </c>
      <c r="D127" s="4">
        <f>SUM(D119:D126)</f>
        <v>36000</v>
      </c>
      <c r="E127" s="4">
        <f>SUM(E119:E126)</f>
        <v>42000.84</v>
      </c>
      <c r="F127" s="4"/>
      <c r="G127" s="4">
        <f>SUM(G119:G126)</f>
        <v>42585</v>
      </c>
      <c r="H127" s="4">
        <f t="shared" si="7"/>
        <v>-6000.8399999999965</v>
      </c>
    </row>
    <row r="128" spans="1:33" ht="15.75" x14ac:dyDescent="0.25">
      <c r="A128" s="35"/>
      <c r="B128" s="17"/>
      <c r="C128" s="17"/>
      <c r="D128" s="4"/>
      <c r="E128" s="4"/>
      <c r="F128" s="4"/>
      <c r="G128" s="4"/>
      <c r="H128" s="4"/>
    </row>
    <row r="129" spans="1:8" ht="15.75" x14ac:dyDescent="0.25">
      <c r="A129" s="18" t="s">
        <v>92</v>
      </c>
      <c r="B129" s="17"/>
      <c r="C129" s="17"/>
      <c r="D129" s="4"/>
      <c r="E129" s="4"/>
      <c r="F129" s="4"/>
      <c r="G129" s="4"/>
      <c r="H129" s="4"/>
    </row>
    <row r="130" spans="1:8" ht="15.75" x14ac:dyDescent="0.25">
      <c r="A130" s="12" t="s">
        <v>131</v>
      </c>
      <c r="B130" s="17">
        <v>300</v>
      </c>
      <c r="C130" s="17">
        <v>150</v>
      </c>
      <c r="D130" s="4">
        <v>300</v>
      </c>
      <c r="E130" s="4">
        <v>0</v>
      </c>
      <c r="F130" s="4"/>
      <c r="G130" s="4">
        <v>150</v>
      </c>
      <c r="H130" s="4">
        <f>D130-G130</f>
        <v>150</v>
      </c>
    </row>
    <row r="131" spans="1:8" ht="15.75" x14ac:dyDescent="0.25">
      <c r="A131" s="12" t="s">
        <v>54</v>
      </c>
      <c r="B131" s="17">
        <v>200</v>
      </c>
      <c r="C131" s="4">
        <v>0</v>
      </c>
      <c r="D131" s="4">
        <v>0</v>
      </c>
      <c r="E131" s="4">
        <v>0</v>
      </c>
      <c r="F131" s="4"/>
      <c r="G131" s="4">
        <v>0</v>
      </c>
      <c r="H131" s="4">
        <f t="shared" ref="H131:H135" si="8">D131-E131</f>
        <v>0</v>
      </c>
    </row>
    <row r="132" spans="1:8" ht="15.75" x14ac:dyDescent="0.25">
      <c r="A132" s="12" t="s">
        <v>55</v>
      </c>
      <c r="B132" s="17">
        <v>200</v>
      </c>
      <c r="C132" s="4">
        <v>0</v>
      </c>
      <c r="D132" s="4">
        <v>175</v>
      </c>
      <c r="E132" s="4">
        <v>0</v>
      </c>
      <c r="F132" s="4"/>
      <c r="G132" s="4">
        <v>0</v>
      </c>
      <c r="H132" s="4">
        <f t="shared" si="8"/>
        <v>175</v>
      </c>
    </row>
    <row r="133" spans="1:8" ht="15.75" x14ac:dyDescent="0.25">
      <c r="A133" s="12" t="s">
        <v>47</v>
      </c>
      <c r="B133" s="17">
        <v>200</v>
      </c>
      <c r="C133" s="4">
        <v>0</v>
      </c>
      <c r="D133" s="4">
        <v>0</v>
      </c>
      <c r="E133" s="4">
        <v>0</v>
      </c>
      <c r="F133" s="4"/>
      <c r="G133" s="4">
        <v>0</v>
      </c>
      <c r="H133" s="4">
        <f t="shared" si="8"/>
        <v>0</v>
      </c>
    </row>
    <row r="134" spans="1:8" ht="16.5" thickBot="1" x14ac:dyDescent="0.3">
      <c r="A134" s="12" t="s">
        <v>58</v>
      </c>
      <c r="B134" s="38">
        <v>0</v>
      </c>
      <c r="C134" s="4">
        <v>0</v>
      </c>
      <c r="D134" s="5">
        <v>0</v>
      </c>
      <c r="E134" s="5">
        <v>0</v>
      </c>
      <c r="F134" s="5"/>
      <c r="G134" s="21">
        <v>0</v>
      </c>
      <c r="H134" s="5">
        <f t="shared" si="8"/>
        <v>0</v>
      </c>
    </row>
    <row r="135" spans="1:8" ht="16.5" thickBot="1" x14ac:dyDescent="0.3">
      <c r="A135" s="22" t="s">
        <v>93</v>
      </c>
      <c r="B135" s="17">
        <f>SUM(B130:B134)</f>
        <v>900</v>
      </c>
      <c r="C135" s="17">
        <f>SUM(C130:C134)</f>
        <v>150</v>
      </c>
      <c r="D135" s="4">
        <f>SUM(D130:D134)</f>
        <v>475</v>
      </c>
      <c r="E135" s="4">
        <f>SUM(E130:E134)</f>
        <v>0</v>
      </c>
      <c r="F135" s="4"/>
      <c r="G135" s="4">
        <f>SUM(G130:G134)</f>
        <v>150</v>
      </c>
      <c r="H135" s="4">
        <f t="shared" si="8"/>
        <v>475</v>
      </c>
    </row>
    <row r="136" spans="1:8" ht="15.75" x14ac:dyDescent="0.25">
      <c r="A136" s="39"/>
      <c r="B136" s="39"/>
      <c r="C136" s="39"/>
      <c r="D136" s="4"/>
      <c r="E136" s="4"/>
      <c r="F136" s="4"/>
      <c r="G136" s="4"/>
      <c r="H136" s="4"/>
    </row>
    <row r="137" spans="1:8" ht="15.75" x14ac:dyDescent="0.25">
      <c r="A137" s="39"/>
      <c r="B137" s="39"/>
      <c r="C137" s="39"/>
      <c r="D137" s="4"/>
      <c r="E137" s="4"/>
      <c r="F137" s="4"/>
      <c r="G137" s="4"/>
      <c r="H137" s="4"/>
    </row>
    <row r="138" spans="1:8" ht="15.75" x14ac:dyDescent="0.25">
      <c r="A138" s="39"/>
      <c r="B138" s="39"/>
      <c r="C138" s="39"/>
      <c r="D138" s="4"/>
      <c r="E138" s="4"/>
      <c r="F138" s="4"/>
      <c r="G138" s="4"/>
      <c r="H138" s="4"/>
    </row>
    <row r="139" spans="1:8" ht="15.75" x14ac:dyDescent="0.25">
      <c r="A139" s="39"/>
      <c r="B139" s="39"/>
      <c r="C139" s="39"/>
      <c r="D139" s="4"/>
      <c r="E139" s="4"/>
      <c r="F139" s="4"/>
      <c r="G139" s="4"/>
      <c r="H139" s="4"/>
    </row>
    <row r="140" spans="1:8" ht="15.75" x14ac:dyDescent="0.25">
      <c r="A140" s="39"/>
      <c r="B140" s="39"/>
      <c r="C140" s="39"/>
      <c r="D140" s="4"/>
      <c r="E140" s="4"/>
      <c r="F140" s="4"/>
      <c r="G140" s="4"/>
      <c r="H140" s="4"/>
    </row>
    <row r="141" spans="1:8" ht="15.75" x14ac:dyDescent="0.25">
      <c r="A141" s="39"/>
      <c r="B141" s="39"/>
      <c r="C141" s="39"/>
      <c r="D141" s="4"/>
      <c r="E141" s="4"/>
      <c r="F141" s="4"/>
      <c r="G141" s="4"/>
      <c r="H141" s="4"/>
    </row>
    <row r="142" spans="1:8" ht="18.75" x14ac:dyDescent="0.3">
      <c r="A142" s="50" t="s">
        <v>118</v>
      </c>
      <c r="B142" s="50"/>
      <c r="C142" s="50"/>
      <c r="D142" s="50"/>
      <c r="E142" s="50"/>
      <c r="F142" s="50"/>
      <c r="G142" s="50"/>
      <c r="H142" s="50"/>
    </row>
    <row r="143" spans="1:8" ht="18.75" x14ac:dyDescent="0.3">
      <c r="A143" s="40"/>
      <c r="B143" s="40"/>
      <c r="C143" s="40"/>
      <c r="D143" s="40"/>
      <c r="E143" s="41"/>
      <c r="F143" s="40"/>
      <c r="G143" s="40"/>
      <c r="H143" s="40"/>
    </row>
    <row r="144" spans="1:8" ht="15.75" x14ac:dyDescent="0.25">
      <c r="A144" s="12"/>
      <c r="B144" s="13" t="s">
        <v>125</v>
      </c>
      <c r="C144" s="13" t="s">
        <v>125</v>
      </c>
      <c r="D144" s="13" t="s">
        <v>0</v>
      </c>
      <c r="E144" s="13" t="s">
        <v>0</v>
      </c>
      <c r="F144" s="13"/>
      <c r="G144" s="13" t="s">
        <v>126</v>
      </c>
      <c r="H144" s="13" t="s">
        <v>1</v>
      </c>
    </row>
    <row r="145" spans="1:8" ht="16.5" thickBot="1" x14ac:dyDescent="0.3">
      <c r="A145" s="12"/>
      <c r="B145" s="14" t="s">
        <v>2</v>
      </c>
      <c r="C145" s="14" t="s">
        <v>3</v>
      </c>
      <c r="D145" s="14" t="s">
        <v>2</v>
      </c>
      <c r="E145" s="14" t="s">
        <v>3</v>
      </c>
      <c r="F145" s="14"/>
      <c r="G145" s="14" t="s">
        <v>2</v>
      </c>
      <c r="H145" s="14" t="s">
        <v>4</v>
      </c>
    </row>
    <row r="146" spans="1:8" ht="15.75" x14ac:dyDescent="0.25">
      <c r="A146" s="18" t="s">
        <v>94</v>
      </c>
      <c r="B146" s="18"/>
      <c r="C146" s="18"/>
      <c r="D146" s="4"/>
      <c r="E146" s="4"/>
      <c r="F146" s="4"/>
      <c r="G146" s="4"/>
      <c r="H146" s="4"/>
    </row>
    <row r="147" spans="1:8" ht="15.75" x14ac:dyDescent="0.25">
      <c r="A147" s="12" t="s">
        <v>74</v>
      </c>
      <c r="B147" s="17">
        <v>1000</v>
      </c>
      <c r="C147" s="17">
        <v>0</v>
      </c>
      <c r="D147" s="4">
        <v>250</v>
      </c>
      <c r="E147" s="17">
        <v>0</v>
      </c>
      <c r="F147" s="4"/>
      <c r="G147" s="7">
        <v>250</v>
      </c>
      <c r="H147" s="4">
        <f>D147-E147</f>
        <v>250</v>
      </c>
    </row>
    <row r="148" spans="1:8" ht="15.75" x14ac:dyDescent="0.25">
      <c r="A148" s="12" t="s">
        <v>95</v>
      </c>
      <c r="B148" s="17">
        <v>425</v>
      </c>
      <c r="C148" s="17">
        <v>283.89</v>
      </c>
      <c r="D148" s="4">
        <v>250</v>
      </c>
      <c r="E148" s="4">
        <v>93.37</v>
      </c>
      <c r="F148" s="4"/>
      <c r="G148" s="7"/>
      <c r="H148" s="4">
        <f>D148-E148</f>
        <v>156.63</v>
      </c>
    </row>
    <row r="149" spans="1:8" ht="15.75" x14ac:dyDescent="0.25">
      <c r="A149" s="12" t="s">
        <v>47</v>
      </c>
      <c r="B149" s="17">
        <v>75</v>
      </c>
      <c r="C149" s="17">
        <v>86</v>
      </c>
      <c r="D149" s="4">
        <v>425</v>
      </c>
      <c r="E149" s="4">
        <v>107.27</v>
      </c>
      <c r="F149" s="4"/>
      <c r="G149" s="7">
        <v>50</v>
      </c>
      <c r="H149" s="4">
        <f>D149-E149</f>
        <v>317.73</v>
      </c>
    </row>
    <row r="150" spans="1:8" ht="16.5" thickBot="1" x14ac:dyDescent="0.3">
      <c r="A150" s="12" t="s">
        <v>127</v>
      </c>
      <c r="B150" s="38">
        <v>0</v>
      </c>
      <c r="C150" s="21">
        <v>-7093</v>
      </c>
      <c r="D150" s="5">
        <v>25</v>
      </c>
      <c r="E150" s="5">
        <v>0</v>
      </c>
      <c r="F150" s="5"/>
      <c r="G150" s="5">
        <v>0</v>
      </c>
      <c r="H150" s="5">
        <f>D150-E150</f>
        <v>25</v>
      </c>
    </row>
    <row r="151" spans="1:8" ht="16.5" thickBot="1" x14ac:dyDescent="0.3">
      <c r="A151" s="22" t="s">
        <v>96</v>
      </c>
      <c r="B151" s="17">
        <f>SUM(B147:B150)</f>
        <v>1500</v>
      </c>
      <c r="C151" s="17">
        <f>SUM(C147:C150)</f>
        <v>-6723.11</v>
      </c>
      <c r="D151" s="4">
        <f>D147+D148+D149+D150</f>
        <v>950</v>
      </c>
      <c r="E151" s="4">
        <f>SUM(E147:E150)</f>
        <v>200.64</v>
      </c>
      <c r="F151" s="4"/>
      <c r="G151" s="4">
        <f>SUM(G147:G150)</f>
        <v>300</v>
      </c>
      <c r="H151" s="4">
        <f>D151-E151</f>
        <v>749.36</v>
      </c>
    </row>
    <row r="152" spans="1:8" ht="15.75" x14ac:dyDescent="0.25">
      <c r="A152" s="42"/>
      <c r="B152" s="17"/>
      <c r="C152" s="17"/>
      <c r="D152" s="4"/>
      <c r="E152" s="4"/>
      <c r="F152" s="4"/>
      <c r="G152" s="4"/>
      <c r="H152" s="4"/>
    </row>
    <row r="153" spans="1:8" ht="15.75" x14ac:dyDescent="0.25">
      <c r="A153" s="18" t="s">
        <v>97</v>
      </c>
      <c r="B153" s="17"/>
      <c r="C153" s="17"/>
      <c r="D153" s="4"/>
      <c r="E153" s="4"/>
      <c r="F153" s="4"/>
      <c r="G153" s="4"/>
      <c r="H153" s="4"/>
    </row>
    <row r="154" spans="1:8" ht="15.75" x14ac:dyDescent="0.25">
      <c r="A154" s="12" t="s">
        <v>25</v>
      </c>
      <c r="B154" s="17">
        <v>800</v>
      </c>
      <c r="C154" s="17">
        <v>60.03</v>
      </c>
      <c r="D154" s="4">
        <v>0</v>
      </c>
      <c r="E154" s="4">
        <v>100</v>
      </c>
      <c r="F154" s="4"/>
      <c r="G154" s="4">
        <v>740</v>
      </c>
      <c r="H154" s="4">
        <f t="shared" ref="H154:H162" si="9">D154-E154</f>
        <v>-100</v>
      </c>
    </row>
    <row r="155" spans="1:8" ht="15.75" x14ac:dyDescent="0.25">
      <c r="A155" s="12" t="s">
        <v>129</v>
      </c>
      <c r="B155" s="17">
        <v>3500</v>
      </c>
      <c r="C155" s="17">
        <v>2109.7600000000002</v>
      </c>
      <c r="D155" s="4">
        <v>0</v>
      </c>
      <c r="E155" s="4">
        <f>120+40.95+100+265.88</f>
        <v>526.82999999999993</v>
      </c>
      <c r="F155" s="4"/>
      <c r="G155" s="4">
        <v>0</v>
      </c>
      <c r="H155" s="4">
        <f t="shared" si="9"/>
        <v>-526.82999999999993</v>
      </c>
    </row>
    <row r="156" spans="1:8" ht="15.75" x14ac:dyDescent="0.25">
      <c r="A156" s="12" t="s">
        <v>26</v>
      </c>
      <c r="B156" s="17">
        <v>3500</v>
      </c>
      <c r="C156" s="17">
        <v>2789.9</v>
      </c>
      <c r="D156" s="4">
        <v>0</v>
      </c>
      <c r="E156" s="4">
        <v>0</v>
      </c>
      <c r="F156" s="4">
        <v>0</v>
      </c>
      <c r="G156" s="4">
        <v>0</v>
      </c>
      <c r="H156" s="4">
        <f t="shared" si="9"/>
        <v>0</v>
      </c>
    </row>
    <row r="157" spans="1:8" ht="15.75" x14ac:dyDescent="0.25">
      <c r="A157" s="12" t="s">
        <v>27</v>
      </c>
      <c r="B157" s="17">
        <v>8000</v>
      </c>
      <c r="C157" s="17">
        <v>0</v>
      </c>
      <c r="D157" s="4">
        <v>0</v>
      </c>
      <c r="E157" s="4">
        <v>0</v>
      </c>
      <c r="F157" s="4">
        <v>0</v>
      </c>
      <c r="G157" s="4">
        <v>0</v>
      </c>
      <c r="H157" s="4">
        <f t="shared" si="9"/>
        <v>0</v>
      </c>
    </row>
    <row r="158" spans="1:8" ht="15.75" x14ac:dyDescent="0.25">
      <c r="A158" s="12" t="s">
        <v>28</v>
      </c>
      <c r="B158" s="17">
        <v>7000</v>
      </c>
      <c r="C158" s="17">
        <v>126</v>
      </c>
      <c r="D158" s="4">
        <v>0</v>
      </c>
      <c r="E158" s="4">
        <f>86.91+5676.8+300+13.79+41.47+49.29</f>
        <v>6168.26</v>
      </c>
      <c r="F158" s="4"/>
      <c r="G158" s="4">
        <v>6000</v>
      </c>
      <c r="H158" s="4" t="e">
        <f>D158-#REF!</f>
        <v>#REF!</v>
      </c>
    </row>
    <row r="159" spans="1:8" ht="15.75" x14ac:dyDescent="0.25">
      <c r="A159" s="12" t="s">
        <v>29</v>
      </c>
      <c r="B159" s="17">
        <v>200</v>
      </c>
      <c r="C159" s="17">
        <v>0</v>
      </c>
      <c r="D159" s="4">
        <v>0</v>
      </c>
      <c r="E159" s="4">
        <v>0</v>
      </c>
      <c r="F159" s="4">
        <v>0</v>
      </c>
      <c r="G159" s="4">
        <v>0</v>
      </c>
      <c r="H159" s="4">
        <f t="shared" si="9"/>
        <v>0</v>
      </c>
    </row>
    <row r="160" spans="1:8" ht="15.75" x14ac:dyDescent="0.25">
      <c r="A160" s="12" t="s">
        <v>30</v>
      </c>
      <c r="B160" s="17">
        <v>400</v>
      </c>
      <c r="C160" s="17">
        <v>0</v>
      </c>
      <c r="D160" s="4">
        <v>0</v>
      </c>
      <c r="E160" s="4">
        <v>0</v>
      </c>
      <c r="F160" s="4">
        <v>0</v>
      </c>
      <c r="G160" s="4">
        <v>0</v>
      </c>
      <c r="H160" s="4">
        <f t="shared" si="9"/>
        <v>0</v>
      </c>
    </row>
    <row r="161" spans="1:8" ht="16.5" thickBot="1" x14ac:dyDescent="0.3">
      <c r="A161" s="12" t="s">
        <v>122</v>
      </c>
      <c r="B161" s="21">
        <v>0</v>
      </c>
      <c r="C161" s="21">
        <v>-750</v>
      </c>
      <c r="D161" s="5">
        <v>0</v>
      </c>
      <c r="E161" s="5">
        <f>70+750+398.43+15.94</f>
        <v>1234.3700000000001</v>
      </c>
      <c r="F161" s="5"/>
      <c r="G161" s="5">
        <v>500</v>
      </c>
      <c r="H161" s="5" t="e">
        <f>D161-#REF!</f>
        <v>#REF!</v>
      </c>
    </row>
    <row r="162" spans="1:8" ht="16.5" thickBot="1" x14ac:dyDescent="0.3">
      <c r="A162" s="22" t="s">
        <v>32</v>
      </c>
      <c r="B162" s="17">
        <f>SUM(B154:B161)</f>
        <v>23400</v>
      </c>
      <c r="C162" s="17">
        <f>SUM(C154:C161)</f>
        <v>4335.6900000000005</v>
      </c>
      <c r="D162" s="4">
        <f>SUM(D154:D161)</f>
        <v>0</v>
      </c>
      <c r="E162" s="4">
        <f>SUM(E154:E161)</f>
        <v>8029.46</v>
      </c>
      <c r="F162" s="4"/>
      <c r="G162" s="4">
        <f>SUM(G154:G161)</f>
        <v>7240</v>
      </c>
      <c r="H162" s="4">
        <f t="shared" si="9"/>
        <v>-8029.46</v>
      </c>
    </row>
    <row r="163" spans="1:8" ht="15.75" x14ac:dyDescent="0.25">
      <c r="A163" s="42"/>
      <c r="B163" s="17"/>
      <c r="C163" s="17"/>
      <c r="D163" s="4"/>
      <c r="E163" s="4"/>
      <c r="F163" s="4"/>
      <c r="G163" s="4"/>
      <c r="H163" s="4"/>
    </row>
    <row r="164" spans="1:8" ht="15.75" x14ac:dyDescent="0.25">
      <c r="A164" s="18" t="s">
        <v>139</v>
      </c>
      <c r="B164" s="17"/>
      <c r="C164" s="17"/>
      <c r="D164" s="4"/>
      <c r="E164" s="4"/>
      <c r="F164" s="4"/>
      <c r="G164" s="4"/>
      <c r="H164" s="4"/>
    </row>
    <row r="165" spans="1:8" ht="15.75" x14ac:dyDescent="0.25">
      <c r="A165" s="12" t="s">
        <v>34</v>
      </c>
      <c r="B165" s="17"/>
      <c r="C165" s="17"/>
      <c r="D165" s="4">
        <v>0</v>
      </c>
      <c r="E165" s="4">
        <v>0</v>
      </c>
      <c r="F165" s="4"/>
      <c r="G165" s="4">
        <v>0</v>
      </c>
      <c r="H165" s="4">
        <f>D165-E165</f>
        <v>0</v>
      </c>
    </row>
    <row r="166" spans="1:8" ht="15.75" x14ac:dyDescent="0.25">
      <c r="A166" s="12" t="s">
        <v>133</v>
      </c>
      <c r="B166" s="17"/>
      <c r="C166" s="17">
        <v>1056.1300000000001</v>
      </c>
      <c r="D166" s="4">
        <v>0</v>
      </c>
      <c r="E166" s="4">
        <v>0</v>
      </c>
      <c r="F166" s="4"/>
      <c r="G166" s="4">
        <v>0</v>
      </c>
      <c r="H166" s="4">
        <f t="shared" ref="H166:H180" si="10">D166-E166</f>
        <v>0</v>
      </c>
    </row>
    <row r="167" spans="1:8" ht="15.75" x14ac:dyDescent="0.25">
      <c r="A167" s="12" t="s">
        <v>98</v>
      </c>
      <c r="B167" s="17">
        <v>1565</v>
      </c>
      <c r="C167" s="17"/>
      <c r="D167" s="4">
        <v>0</v>
      </c>
      <c r="E167" s="4">
        <v>0</v>
      </c>
      <c r="F167" s="4"/>
      <c r="G167" s="7">
        <v>4000</v>
      </c>
      <c r="H167" s="4">
        <f t="shared" si="10"/>
        <v>0</v>
      </c>
    </row>
    <row r="168" spans="1:8" ht="15.75" x14ac:dyDescent="0.25">
      <c r="A168" s="12" t="s">
        <v>90</v>
      </c>
      <c r="B168" s="17">
        <v>800</v>
      </c>
      <c r="C168" s="17"/>
      <c r="D168" s="4">
        <v>0</v>
      </c>
      <c r="E168" s="4">
        <v>0</v>
      </c>
      <c r="F168" s="4"/>
      <c r="G168" s="7">
        <v>1500</v>
      </c>
      <c r="H168" s="4">
        <f t="shared" si="10"/>
        <v>0</v>
      </c>
    </row>
    <row r="169" spans="1:8" ht="15.75" x14ac:dyDescent="0.25">
      <c r="A169" s="12" t="s">
        <v>99</v>
      </c>
      <c r="B169" s="17">
        <v>2600</v>
      </c>
      <c r="C169" s="17"/>
      <c r="D169" s="4">
        <v>0</v>
      </c>
      <c r="E169" s="4">
        <v>0</v>
      </c>
      <c r="F169" s="4"/>
      <c r="G169" s="7">
        <v>2500</v>
      </c>
      <c r="H169" s="4">
        <f t="shared" si="10"/>
        <v>0</v>
      </c>
    </row>
    <row r="170" spans="1:8" ht="15.75" x14ac:dyDescent="0.25">
      <c r="A170" s="12" t="s">
        <v>17</v>
      </c>
      <c r="B170" s="4">
        <v>0</v>
      </c>
      <c r="C170" s="17"/>
      <c r="D170" s="4">
        <v>0</v>
      </c>
      <c r="E170" s="4">
        <v>0</v>
      </c>
      <c r="F170" s="4"/>
      <c r="G170" s="7">
        <v>1000</v>
      </c>
      <c r="H170" s="4">
        <f t="shared" si="10"/>
        <v>0</v>
      </c>
    </row>
    <row r="171" spans="1:8" ht="15.75" x14ac:dyDescent="0.25">
      <c r="A171" s="12" t="s">
        <v>100</v>
      </c>
      <c r="B171" s="17">
        <v>80000</v>
      </c>
      <c r="C171" s="17"/>
      <c r="D171" s="4">
        <v>0</v>
      </c>
      <c r="E171" s="4">
        <v>0</v>
      </c>
      <c r="F171" s="4"/>
      <c r="G171" s="7">
        <v>121000</v>
      </c>
      <c r="H171" s="4">
        <f t="shared" si="10"/>
        <v>0</v>
      </c>
    </row>
    <row r="172" spans="1:8" ht="15.75" x14ac:dyDescent="0.25">
      <c r="A172" s="12" t="s">
        <v>101</v>
      </c>
      <c r="B172" s="17">
        <v>1000</v>
      </c>
      <c r="C172" s="17"/>
      <c r="D172" s="4">
        <v>0</v>
      </c>
      <c r="E172" s="4">
        <v>77.95</v>
      </c>
      <c r="F172" s="4"/>
      <c r="G172" s="7">
        <v>2500</v>
      </c>
      <c r="H172" s="4">
        <f t="shared" si="10"/>
        <v>-77.95</v>
      </c>
    </row>
    <row r="173" spans="1:8" ht="15.75" x14ac:dyDescent="0.25">
      <c r="A173" s="12" t="s">
        <v>102</v>
      </c>
      <c r="B173" s="17">
        <v>175</v>
      </c>
      <c r="C173" s="17">
        <v>1050</v>
      </c>
      <c r="D173" s="4">
        <v>0</v>
      </c>
      <c r="E173" s="4">
        <f>100+50</f>
        <v>150</v>
      </c>
      <c r="F173" s="4"/>
      <c r="G173" s="4">
        <v>300</v>
      </c>
      <c r="H173" s="4">
        <f t="shared" si="10"/>
        <v>-150</v>
      </c>
    </row>
    <row r="174" spans="1:8" ht="15.75" x14ac:dyDescent="0.25">
      <c r="A174" s="12" t="s">
        <v>103</v>
      </c>
      <c r="B174" s="17">
        <v>300</v>
      </c>
      <c r="C174" s="17"/>
      <c r="D174" s="4">
        <v>0</v>
      </c>
      <c r="E174" s="4">
        <v>0</v>
      </c>
      <c r="F174" s="4"/>
      <c r="G174" s="7">
        <v>500</v>
      </c>
      <c r="H174" s="4">
        <f t="shared" si="10"/>
        <v>0</v>
      </c>
    </row>
    <row r="175" spans="1:8" ht="15.75" x14ac:dyDescent="0.25">
      <c r="A175" s="12" t="s">
        <v>81</v>
      </c>
      <c r="B175" s="17">
        <v>600</v>
      </c>
      <c r="C175" s="17"/>
      <c r="D175" s="4">
        <v>0</v>
      </c>
      <c r="E175" s="4">
        <v>0</v>
      </c>
      <c r="F175" s="4"/>
      <c r="G175" s="7">
        <v>1000</v>
      </c>
      <c r="H175" s="4">
        <f t="shared" si="10"/>
        <v>0</v>
      </c>
    </row>
    <row r="176" spans="1:8" ht="15.75" x14ac:dyDescent="0.25">
      <c r="A176" s="12" t="s">
        <v>104</v>
      </c>
      <c r="B176" s="17">
        <v>500</v>
      </c>
      <c r="C176" s="17"/>
      <c r="D176" s="4">
        <v>0</v>
      </c>
      <c r="E176" s="4">
        <v>0</v>
      </c>
      <c r="F176" s="4"/>
      <c r="G176" s="4">
        <v>0</v>
      </c>
      <c r="H176" s="4">
        <f t="shared" si="10"/>
        <v>0</v>
      </c>
    </row>
    <row r="177" spans="1:9" ht="15.75" x14ac:dyDescent="0.25">
      <c r="A177" s="12" t="s">
        <v>76</v>
      </c>
      <c r="B177" s="17">
        <v>1500</v>
      </c>
      <c r="C177" s="17">
        <v>489.18</v>
      </c>
      <c r="D177" s="4">
        <v>0</v>
      </c>
      <c r="E177" s="4">
        <v>0</v>
      </c>
      <c r="F177" s="4"/>
      <c r="G177" s="7">
        <v>1200</v>
      </c>
      <c r="H177" s="4">
        <f t="shared" si="10"/>
        <v>0</v>
      </c>
    </row>
    <row r="178" spans="1:9" ht="15.75" x14ac:dyDescent="0.25">
      <c r="A178" s="12" t="s">
        <v>105</v>
      </c>
      <c r="B178" s="17">
        <v>1500</v>
      </c>
      <c r="C178" s="17"/>
      <c r="D178" s="4">
        <v>0</v>
      </c>
      <c r="E178" s="4">
        <v>0</v>
      </c>
      <c r="F178" s="4"/>
      <c r="G178" s="4">
        <v>0</v>
      </c>
      <c r="H178" s="4">
        <f t="shared" si="10"/>
        <v>0</v>
      </c>
    </row>
    <row r="179" spans="1:9" ht="16.5" thickBot="1" x14ac:dyDescent="0.3">
      <c r="A179" s="12" t="s">
        <v>106</v>
      </c>
      <c r="B179" s="21">
        <v>0</v>
      </c>
      <c r="C179" s="21">
        <v>389.53</v>
      </c>
      <c r="D179" s="21">
        <v>0</v>
      </c>
      <c r="E179" s="5">
        <v>0</v>
      </c>
      <c r="F179" s="5"/>
      <c r="G179" s="23">
        <v>600</v>
      </c>
      <c r="H179" s="5">
        <f t="shared" si="10"/>
        <v>0</v>
      </c>
    </row>
    <row r="180" spans="1:9" ht="16.5" thickBot="1" x14ac:dyDescent="0.3">
      <c r="A180" s="22" t="s">
        <v>107</v>
      </c>
      <c r="B180" s="17">
        <f>SUM(B165:B179)</f>
        <v>90540</v>
      </c>
      <c r="C180" s="17">
        <f>SUM(C165:C179)</f>
        <v>2984.84</v>
      </c>
      <c r="D180" s="4">
        <f>SUM(D165:D179)</f>
        <v>0</v>
      </c>
      <c r="E180" s="4">
        <f>SUM(E165:E179)</f>
        <v>227.95</v>
      </c>
      <c r="F180" s="4"/>
      <c r="G180" s="8">
        <f>SUM(G165:G179)</f>
        <v>136100</v>
      </c>
      <c r="H180" s="4">
        <f t="shared" si="10"/>
        <v>-227.95</v>
      </c>
      <c r="I180" s="3"/>
    </row>
    <row r="181" spans="1:9" ht="15.75" x14ac:dyDescent="0.25">
      <c r="A181" s="27"/>
      <c r="B181" s="17"/>
      <c r="C181" s="17"/>
      <c r="D181" s="4"/>
      <c r="E181" s="4"/>
      <c r="F181" s="4"/>
      <c r="G181" s="4"/>
      <c r="H181" s="4"/>
    </row>
    <row r="182" spans="1:9" ht="15.75" x14ac:dyDescent="0.25">
      <c r="A182" s="24" t="s">
        <v>108</v>
      </c>
      <c r="B182" s="25">
        <f>B68+B75+B90+B105+B107+B116+B127+B135+B151+B162+B180</f>
        <v>384450</v>
      </c>
      <c r="C182" s="25">
        <f>C68+C75+C90+C105+C107+C116+C127+C135+C151+C162+C180</f>
        <v>241997.89000000004</v>
      </c>
      <c r="D182" s="25">
        <f>D68+D75+D90+D105+D107+D116+D127+D135+D151+D162+D180</f>
        <v>176380.81699999998</v>
      </c>
      <c r="E182" s="6">
        <f>E68+E75+E90+E105+E107+E116+E127+E135+E151+E162+E180</f>
        <v>183379.49</v>
      </c>
      <c r="F182" s="6"/>
      <c r="G182" s="6">
        <f>G68+G75+G90+G105+G107+G116+G127+G135+G151+G162+G180</f>
        <v>358218</v>
      </c>
      <c r="H182" s="6">
        <f>D182-E182</f>
        <v>-6998.6730000000098</v>
      </c>
    </row>
    <row r="183" spans="1:9" ht="15.75" x14ac:dyDescent="0.25">
      <c r="A183" s="43"/>
      <c r="B183" s="43"/>
      <c r="C183" s="43"/>
      <c r="D183" s="6"/>
      <c r="E183" s="6"/>
      <c r="F183" s="6"/>
      <c r="G183" s="6"/>
      <c r="H183" s="6"/>
    </row>
    <row r="184" spans="1:9" ht="15.75" x14ac:dyDescent="0.25">
      <c r="A184" s="27"/>
      <c r="B184" s="27"/>
      <c r="C184" s="27"/>
      <c r="D184" s="4"/>
      <c r="E184" s="4"/>
      <c r="F184" s="4"/>
      <c r="G184" s="4"/>
      <c r="H184" s="4"/>
    </row>
    <row r="185" spans="1:9" ht="15.75" x14ac:dyDescent="0.25">
      <c r="A185" s="27"/>
      <c r="B185" s="27"/>
      <c r="C185" s="27"/>
      <c r="D185" s="4"/>
      <c r="E185" s="4"/>
      <c r="F185" s="4"/>
      <c r="G185" s="4"/>
      <c r="H185" s="4"/>
    </row>
    <row r="186" spans="1:9" ht="15.75" x14ac:dyDescent="0.25">
      <c r="A186" s="27"/>
      <c r="B186" s="27"/>
      <c r="C186" s="27"/>
      <c r="D186" s="4"/>
      <c r="E186" s="4"/>
      <c r="F186" s="4"/>
      <c r="G186" s="4"/>
      <c r="H186" s="4"/>
    </row>
    <row r="187" spans="1:9" ht="15.75" x14ac:dyDescent="0.25">
      <c r="A187" s="27"/>
      <c r="B187" s="27"/>
      <c r="C187" s="27"/>
      <c r="D187" s="4"/>
      <c r="E187" s="4"/>
      <c r="F187" s="4"/>
      <c r="G187" s="4"/>
      <c r="H187" s="4"/>
    </row>
    <row r="188" spans="1:9" ht="15.75" x14ac:dyDescent="0.25">
      <c r="A188" s="27"/>
      <c r="B188" s="27"/>
      <c r="C188" s="27"/>
      <c r="D188" s="4"/>
      <c r="E188" s="4"/>
      <c r="F188" s="4"/>
      <c r="G188" s="4"/>
      <c r="H188" s="4"/>
    </row>
    <row r="189" spans="1:9" ht="18.75" x14ac:dyDescent="0.3">
      <c r="A189" s="40"/>
      <c r="B189" s="40"/>
      <c r="C189" s="40"/>
      <c r="D189" s="40"/>
      <c r="E189" s="41"/>
      <c r="F189" s="40"/>
      <c r="G189" s="40"/>
      <c r="H189" s="40"/>
    </row>
    <row r="190" spans="1:9" ht="15.75" x14ac:dyDescent="0.25">
      <c r="A190" s="12"/>
      <c r="B190" s="13" t="s">
        <v>125</v>
      </c>
      <c r="C190" s="13" t="s">
        <v>125</v>
      </c>
      <c r="D190" s="13" t="s">
        <v>0</v>
      </c>
      <c r="E190" s="13" t="s">
        <v>0</v>
      </c>
      <c r="F190" s="13"/>
      <c r="G190" s="13" t="s">
        <v>126</v>
      </c>
      <c r="H190" s="13" t="s">
        <v>1</v>
      </c>
    </row>
    <row r="191" spans="1:9" ht="16.5" thickBot="1" x14ac:dyDescent="0.3">
      <c r="A191" s="12"/>
      <c r="B191" s="14" t="s">
        <v>2</v>
      </c>
      <c r="C191" s="14" t="s">
        <v>3</v>
      </c>
      <c r="D191" s="14" t="s">
        <v>2</v>
      </c>
      <c r="E191" s="14" t="s">
        <v>3</v>
      </c>
      <c r="F191" s="14"/>
      <c r="G191" s="14" t="s">
        <v>2</v>
      </c>
      <c r="H191" s="14" t="s">
        <v>4</v>
      </c>
    </row>
    <row r="192" spans="1:9" ht="15.75" x14ac:dyDescent="0.25">
      <c r="A192" s="44" t="s">
        <v>109</v>
      </c>
      <c r="B192" s="44"/>
      <c r="C192" s="44"/>
      <c r="D192" s="4"/>
      <c r="E192" s="4" t="s">
        <v>110</v>
      </c>
      <c r="F192" s="4"/>
      <c r="G192" s="4"/>
      <c r="H192" s="4"/>
    </row>
    <row r="193" spans="1:8" ht="15.75" x14ac:dyDescent="0.25">
      <c r="A193" s="12" t="s">
        <v>41</v>
      </c>
      <c r="B193" s="4">
        <f t="shared" ref="B193:G194" si="11">B6</f>
        <v>2150</v>
      </c>
      <c r="C193" s="4">
        <f t="shared" si="11"/>
        <v>167</v>
      </c>
      <c r="D193" s="4">
        <f t="shared" si="11"/>
        <v>2150</v>
      </c>
      <c r="E193" s="4">
        <f t="shared" si="11"/>
        <v>0</v>
      </c>
      <c r="F193" s="4"/>
      <c r="G193" s="4">
        <f>G6</f>
        <v>0</v>
      </c>
      <c r="H193" s="4">
        <f t="shared" ref="H193:H205" si="12">E193-D193</f>
        <v>-2150</v>
      </c>
    </row>
    <row r="194" spans="1:8" ht="15.75" x14ac:dyDescent="0.25">
      <c r="A194" s="12" t="s">
        <v>7</v>
      </c>
      <c r="B194" s="4">
        <f t="shared" si="11"/>
        <v>15300</v>
      </c>
      <c r="C194" s="4">
        <f t="shared" si="11"/>
        <v>9081</v>
      </c>
      <c r="D194" s="4">
        <f t="shared" si="11"/>
        <v>0</v>
      </c>
      <c r="E194" s="4">
        <f t="shared" si="11"/>
        <v>3810</v>
      </c>
      <c r="F194" s="4"/>
      <c r="G194" s="4">
        <f t="shared" si="11"/>
        <v>14850</v>
      </c>
      <c r="H194" s="4">
        <f t="shared" si="12"/>
        <v>3810</v>
      </c>
    </row>
    <row r="195" spans="1:8" ht="15.75" x14ac:dyDescent="0.25">
      <c r="A195" s="12" t="s">
        <v>8</v>
      </c>
      <c r="B195" s="4">
        <f t="shared" ref="B195:G197" si="13">B13</f>
        <v>8300</v>
      </c>
      <c r="C195" s="4">
        <f t="shared" si="13"/>
        <v>18778.04</v>
      </c>
      <c r="D195" s="4">
        <f t="shared" si="13"/>
        <v>7000</v>
      </c>
      <c r="E195" s="4">
        <f t="shared" si="13"/>
        <v>12408</v>
      </c>
      <c r="F195" s="4"/>
      <c r="G195" s="4">
        <f>G13</f>
        <v>15000</v>
      </c>
      <c r="H195" s="4">
        <f t="shared" si="12"/>
        <v>5408</v>
      </c>
    </row>
    <row r="196" spans="1:8" ht="15.75" x14ac:dyDescent="0.25">
      <c r="A196" s="12" t="s">
        <v>14</v>
      </c>
      <c r="B196" s="4">
        <f t="shared" si="13"/>
        <v>25000</v>
      </c>
      <c r="C196" s="4">
        <f t="shared" si="13"/>
        <v>22657.5</v>
      </c>
      <c r="D196" s="4">
        <f t="shared" si="13"/>
        <v>6942</v>
      </c>
      <c r="E196" s="4">
        <f t="shared" si="13"/>
        <v>19188.5</v>
      </c>
      <c r="F196" s="4"/>
      <c r="G196" s="4">
        <f t="shared" si="13"/>
        <v>13000</v>
      </c>
      <c r="H196" s="4">
        <f t="shared" si="12"/>
        <v>12246.5</v>
      </c>
    </row>
    <row r="197" spans="1:8" ht="15.75" x14ac:dyDescent="0.25">
      <c r="A197" s="12" t="s">
        <v>15</v>
      </c>
      <c r="B197" s="4">
        <f t="shared" si="13"/>
        <v>48000</v>
      </c>
      <c r="C197" s="4">
        <f t="shared" si="13"/>
        <v>75149.55</v>
      </c>
      <c r="D197" s="4">
        <f t="shared" si="13"/>
        <v>60000</v>
      </c>
      <c r="E197" s="4">
        <f t="shared" si="13"/>
        <v>51298.569999999985</v>
      </c>
      <c r="F197" s="4"/>
      <c r="G197" s="4">
        <f>G15</f>
        <v>52000</v>
      </c>
      <c r="H197" s="4">
        <f t="shared" si="12"/>
        <v>-8701.4300000000148</v>
      </c>
    </row>
    <row r="198" spans="1:8" ht="15.75" x14ac:dyDescent="0.25">
      <c r="A198" s="12" t="s">
        <v>21</v>
      </c>
      <c r="B198" s="4">
        <f t="shared" ref="B198:G199" si="14">B21</f>
        <v>1000</v>
      </c>
      <c r="C198" s="4">
        <f t="shared" si="14"/>
        <v>4500</v>
      </c>
      <c r="D198" s="4">
        <f t="shared" si="14"/>
        <v>0</v>
      </c>
      <c r="E198" s="4">
        <f t="shared" si="14"/>
        <v>4000</v>
      </c>
      <c r="F198" s="4"/>
      <c r="G198" s="4">
        <f t="shared" si="14"/>
        <v>0</v>
      </c>
      <c r="H198" s="4">
        <f t="shared" si="12"/>
        <v>4000</v>
      </c>
    </row>
    <row r="199" spans="1:8" ht="15.75" x14ac:dyDescent="0.25">
      <c r="A199" s="12" t="s">
        <v>111</v>
      </c>
      <c r="B199" s="4">
        <f t="shared" si="14"/>
        <v>2250</v>
      </c>
      <c r="C199" s="4">
        <f t="shared" si="14"/>
        <v>2600</v>
      </c>
      <c r="D199" s="4">
        <f t="shared" si="14"/>
        <v>2250</v>
      </c>
      <c r="E199" s="4">
        <f t="shared" si="14"/>
        <v>0</v>
      </c>
      <c r="F199" s="4"/>
      <c r="G199" s="4">
        <f t="shared" si="14"/>
        <v>0</v>
      </c>
      <c r="H199" s="4">
        <f t="shared" si="12"/>
        <v>-2250</v>
      </c>
    </row>
    <row r="200" spans="1:8" ht="15.75" x14ac:dyDescent="0.25">
      <c r="A200" s="12" t="s">
        <v>16</v>
      </c>
      <c r="B200" s="4">
        <f>B16</f>
        <v>16000</v>
      </c>
      <c r="C200" s="4">
        <f>C16</f>
        <v>15810</v>
      </c>
      <c r="D200" s="4">
        <f>D16</f>
        <v>10500</v>
      </c>
      <c r="E200" s="4">
        <f>E16</f>
        <v>14758.84</v>
      </c>
      <c r="F200" s="4"/>
      <c r="G200" s="4">
        <f>G16</f>
        <v>10500</v>
      </c>
      <c r="H200" s="4">
        <f t="shared" si="12"/>
        <v>4258.84</v>
      </c>
    </row>
    <row r="201" spans="1:8" ht="15.75" x14ac:dyDescent="0.25">
      <c r="A201" s="12" t="s">
        <v>17</v>
      </c>
      <c r="B201" s="4">
        <f>B20</f>
        <v>39200</v>
      </c>
      <c r="C201" s="4">
        <f>C20</f>
        <v>19228</v>
      </c>
      <c r="D201" s="4">
        <f>D20</f>
        <v>21200</v>
      </c>
      <c r="E201" s="4">
        <f>E20</f>
        <v>2850</v>
      </c>
      <c r="F201" s="4"/>
      <c r="G201" s="4">
        <f>G20</f>
        <v>9200</v>
      </c>
      <c r="H201" s="4">
        <f t="shared" si="12"/>
        <v>-18350</v>
      </c>
    </row>
    <row r="202" spans="1:8" ht="15.75" x14ac:dyDescent="0.25">
      <c r="A202" s="12" t="s">
        <v>23</v>
      </c>
      <c r="B202" s="4">
        <f>B23</f>
        <v>0</v>
      </c>
      <c r="C202" s="4">
        <f>C23</f>
        <v>187186</v>
      </c>
      <c r="D202" s="4">
        <v>0</v>
      </c>
      <c r="E202" s="4">
        <f>E23</f>
        <v>55955</v>
      </c>
      <c r="F202" s="4"/>
      <c r="G202" s="4">
        <f>G23</f>
        <v>4000</v>
      </c>
      <c r="H202" s="4">
        <f t="shared" si="12"/>
        <v>55955</v>
      </c>
    </row>
    <row r="203" spans="1:8" ht="15.75" x14ac:dyDescent="0.25">
      <c r="A203" s="12" t="s">
        <v>24</v>
      </c>
      <c r="B203" s="4">
        <f>B33</f>
        <v>58500</v>
      </c>
      <c r="C203" s="4">
        <f>C33</f>
        <v>35491.159999999996</v>
      </c>
      <c r="D203" s="4">
        <f>D33</f>
        <v>20000</v>
      </c>
      <c r="E203" s="4">
        <f>E33</f>
        <v>19968.3</v>
      </c>
      <c r="F203" s="4"/>
      <c r="G203" s="4">
        <f>G33</f>
        <v>22240</v>
      </c>
      <c r="H203" s="4">
        <f t="shared" si="12"/>
        <v>-31.700000000000728</v>
      </c>
    </row>
    <row r="204" spans="1:8" ht="15.75" x14ac:dyDescent="0.25">
      <c r="A204" s="12" t="s">
        <v>33</v>
      </c>
      <c r="B204" s="5">
        <f>B39</f>
        <v>158000</v>
      </c>
      <c r="C204" s="5">
        <f>C39</f>
        <v>2427.1999999999998</v>
      </c>
      <c r="D204" s="5">
        <f>D39</f>
        <v>0</v>
      </c>
      <c r="E204" s="5">
        <f>E39</f>
        <v>100</v>
      </c>
      <c r="F204" s="5"/>
      <c r="G204" s="5">
        <f>G39</f>
        <v>220000</v>
      </c>
      <c r="H204" s="5">
        <f t="shared" si="12"/>
        <v>100</v>
      </c>
    </row>
    <row r="205" spans="1:8" ht="15.75" x14ac:dyDescent="0.25">
      <c r="A205" s="45" t="s">
        <v>39</v>
      </c>
      <c r="B205" s="6">
        <f t="shared" ref="B205:C205" si="15">SUM(B193:B204)</f>
        <v>373700</v>
      </c>
      <c r="C205" s="6">
        <f t="shared" si="15"/>
        <v>393075.44999999995</v>
      </c>
      <c r="D205" s="6">
        <f>SUM(D193:D204)</f>
        <v>130042</v>
      </c>
      <c r="E205" s="6">
        <f>SUM(E193:E204)</f>
        <v>184337.20999999996</v>
      </c>
      <c r="F205" s="6"/>
      <c r="G205" s="6">
        <f>SUM(G193:G204)</f>
        <v>360790</v>
      </c>
      <c r="H205" s="6">
        <f t="shared" si="12"/>
        <v>54295.209999999963</v>
      </c>
    </row>
    <row r="206" spans="1:8" ht="16.5" thickBot="1" x14ac:dyDescent="0.3">
      <c r="A206" s="12"/>
      <c r="B206" s="12"/>
      <c r="C206" s="12"/>
      <c r="D206" s="4"/>
      <c r="E206" s="4"/>
      <c r="F206" s="4"/>
      <c r="G206" s="4"/>
      <c r="H206" s="4"/>
    </row>
    <row r="207" spans="1:8" ht="16.5" thickBot="1" x14ac:dyDescent="0.3">
      <c r="A207" s="15" t="s">
        <v>112</v>
      </c>
      <c r="B207" s="16"/>
      <c r="C207" s="16"/>
      <c r="D207" s="4"/>
      <c r="E207" s="4"/>
      <c r="F207" s="4"/>
      <c r="G207" s="4"/>
      <c r="H207" s="4"/>
    </row>
    <row r="208" spans="1:8" ht="15.75" x14ac:dyDescent="0.25">
      <c r="A208" s="12" t="s">
        <v>41</v>
      </c>
      <c r="B208" s="4">
        <f>B68</f>
        <v>68494</v>
      </c>
      <c r="C208" s="4">
        <f>C68</f>
        <v>62719</v>
      </c>
      <c r="D208" s="4">
        <f>D68</f>
        <v>56365</v>
      </c>
      <c r="E208" s="4">
        <f>E68</f>
        <v>49300.43</v>
      </c>
      <c r="F208" s="4"/>
      <c r="G208" s="4">
        <f>G68</f>
        <v>55468</v>
      </c>
      <c r="H208" s="4">
        <f t="shared" ref="H208:H219" si="16">D208-E208</f>
        <v>7064.57</v>
      </c>
    </row>
    <row r="209" spans="1:11" ht="15.75" x14ac:dyDescent="0.25">
      <c r="A209" s="12" t="s">
        <v>7</v>
      </c>
      <c r="B209" s="4">
        <f>B75</f>
        <v>15450</v>
      </c>
      <c r="C209" s="4">
        <f>C75</f>
        <v>8956.35</v>
      </c>
      <c r="D209" s="4">
        <f>D75</f>
        <v>0</v>
      </c>
      <c r="E209" s="4">
        <f>E75</f>
        <v>3582.71</v>
      </c>
      <c r="F209" s="4"/>
      <c r="G209" s="4">
        <f>G75</f>
        <v>14794</v>
      </c>
      <c r="H209" s="4">
        <f t="shared" si="16"/>
        <v>-3582.71</v>
      </c>
    </row>
    <row r="210" spans="1:11" ht="15.75" x14ac:dyDescent="0.25">
      <c r="A210" s="12" t="s">
        <v>8</v>
      </c>
      <c r="B210" s="4">
        <f>B90</f>
        <v>100200</v>
      </c>
      <c r="C210" s="4">
        <f>C90</f>
        <v>92109.57</v>
      </c>
      <c r="D210" s="4">
        <f>D90</f>
        <v>56900</v>
      </c>
      <c r="E210" s="4">
        <f>E90</f>
        <v>57294.559999999998</v>
      </c>
      <c r="F210" s="4"/>
      <c r="G210" s="4">
        <f>G90</f>
        <v>70785</v>
      </c>
      <c r="H210" s="4">
        <f t="shared" si="16"/>
        <v>-394.55999999999767</v>
      </c>
    </row>
    <row r="211" spans="1:11" ht="15.75" x14ac:dyDescent="0.25">
      <c r="A211" s="12" t="s">
        <v>14</v>
      </c>
      <c r="B211" s="4">
        <f>B105</f>
        <v>1800</v>
      </c>
      <c r="C211" s="4">
        <f>C105</f>
        <v>1903.44</v>
      </c>
      <c r="D211" s="4">
        <f>D105</f>
        <v>940.81700000000001</v>
      </c>
      <c r="E211" s="4">
        <f>E105</f>
        <v>508.01</v>
      </c>
      <c r="F211" s="4"/>
      <c r="G211" s="4">
        <f>G105</f>
        <v>1296</v>
      </c>
      <c r="H211" s="4">
        <f t="shared" si="16"/>
        <v>432.80700000000002</v>
      </c>
    </row>
    <row r="212" spans="1:11" ht="15.75" x14ac:dyDescent="0.25">
      <c r="A212" s="12" t="s">
        <v>113</v>
      </c>
      <c r="B212" s="4">
        <f>B107</f>
        <v>9500</v>
      </c>
      <c r="C212" s="4">
        <f>C107</f>
        <v>11441</v>
      </c>
      <c r="D212" s="4">
        <f>D107</f>
        <v>9000</v>
      </c>
      <c r="E212" s="4">
        <f>E107</f>
        <v>11409.71</v>
      </c>
      <c r="F212" s="4"/>
      <c r="G212" s="4">
        <f>G107</f>
        <v>11000</v>
      </c>
      <c r="H212" s="4">
        <f t="shared" si="16"/>
        <v>-2409.7099999999991</v>
      </c>
    </row>
    <row r="213" spans="1:11" ht="15.75" x14ac:dyDescent="0.25">
      <c r="A213" s="12" t="s">
        <v>21</v>
      </c>
      <c r="B213" s="4">
        <f>B116</f>
        <v>25000</v>
      </c>
      <c r="C213" s="4">
        <f>C116</f>
        <v>28850.559999999998</v>
      </c>
      <c r="D213" s="4">
        <f>D116</f>
        <v>15750</v>
      </c>
      <c r="E213" s="4">
        <f>E116</f>
        <v>10825.18</v>
      </c>
      <c r="F213" s="4"/>
      <c r="G213" s="4">
        <f>G116</f>
        <v>18500</v>
      </c>
      <c r="H213" s="4">
        <f t="shared" si="16"/>
        <v>4924.82</v>
      </c>
    </row>
    <row r="214" spans="1:11" ht="15.75" x14ac:dyDescent="0.25">
      <c r="A214" s="12" t="s">
        <v>111</v>
      </c>
      <c r="B214" s="4">
        <f>B127</f>
        <v>47666</v>
      </c>
      <c r="C214" s="4">
        <f>C127</f>
        <v>35270.550000000003</v>
      </c>
      <c r="D214" s="4">
        <f>D127</f>
        <v>36000</v>
      </c>
      <c r="E214" s="4">
        <f>E127</f>
        <v>42000.84</v>
      </c>
      <c r="F214" s="4"/>
      <c r="G214" s="4">
        <f>G127</f>
        <v>42585</v>
      </c>
      <c r="H214" s="4">
        <f t="shared" si="16"/>
        <v>-6000.8399999999965</v>
      </c>
    </row>
    <row r="215" spans="1:11" ht="15.75" x14ac:dyDescent="0.25">
      <c r="A215" s="12" t="s">
        <v>16</v>
      </c>
      <c r="B215" s="4">
        <f>B135</f>
        <v>900</v>
      </c>
      <c r="C215" s="4">
        <f>C135</f>
        <v>150</v>
      </c>
      <c r="D215" s="4">
        <f>D135</f>
        <v>475</v>
      </c>
      <c r="E215" s="4">
        <f>E135</f>
        <v>0</v>
      </c>
      <c r="F215" s="4"/>
      <c r="G215" s="4">
        <f>G135</f>
        <v>150</v>
      </c>
      <c r="H215" s="4">
        <f t="shared" si="16"/>
        <v>475</v>
      </c>
    </row>
    <row r="216" spans="1:11" ht="15.75" x14ac:dyDescent="0.25">
      <c r="A216" s="12" t="s">
        <v>17</v>
      </c>
      <c r="B216" s="4">
        <f>B151</f>
        <v>1500</v>
      </c>
      <c r="C216" s="4">
        <f>C151</f>
        <v>-6723.11</v>
      </c>
      <c r="D216" s="4">
        <f>D151</f>
        <v>950</v>
      </c>
      <c r="E216" s="4">
        <f>E151</f>
        <v>200.64</v>
      </c>
      <c r="F216" s="4"/>
      <c r="G216" s="4">
        <f>G151</f>
        <v>300</v>
      </c>
      <c r="H216" s="4">
        <f t="shared" si="16"/>
        <v>749.36</v>
      </c>
    </row>
    <row r="217" spans="1:11" ht="15.75" x14ac:dyDescent="0.25">
      <c r="A217" s="12" t="s">
        <v>24</v>
      </c>
      <c r="B217" s="4">
        <f>B162</f>
        <v>23400</v>
      </c>
      <c r="C217" s="4">
        <f>C162</f>
        <v>4335.6900000000005</v>
      </c>
      <c r="D217" s="4">
        <f>D162</f>
        <v>0</v>
      </c>
      <c r="E217" s="4">
        <f>E162</f>
        <v>8029.46</v>
      </c>
      <c r="F217" s="4"/>
      <c r="G217" s="4">
        <f>G162</f>
        <v>7240</v>
      </c>
      <c r="H217" s="4">
        <f t="shared" si="16"/>
        <v>-8029.46</v>
      </c>
      <c r="K217" t="s">
        <v>121</v>
      </c>
    </row>
    <row r="218" spans="1:11" ht="15.75" x14ac:dyDescent="0.25">
      <c r="A218" s="12" t="s">
        <v>33</v>
      </c>
      <c r="B218" s="5">
        <f>B180</f>
        <v>90540</v>
      </c>
      <c r="C218" s="5">
        <f>C180</f>
        <v>2984.84</v>
      </c>
      <c r="D218" s="5">
        <f>D180</f>
        <v>0</v>
      </c>
      <c r="E218" s="5">
        <f>E180</f>
        <v>227.95</v>
      </c>
      <c r="F218" s="5"/>
      <c r="G218" s="5">
        <f>G180</f>
        <v>136100</v>
      </c>
      <c r="H218" s="5">
        <f t="shared" si="16"/>
        <v>-227.95</v>
      </c>
    </row>
    <row r="219" spans="1:11" ht="15.75" x14ac:dyDescent="0.25">
      <c r="A219" s="45" t="s">
        <v>108</v>
      </c>
      <c r="B219" s="6">
        <f t="shared" ref="B219:C219" si="17">SUM(B208:B218)</f>
        <v>384450</v>
      </c>
      <c r="C219" s="6">
        <f t="shared" si="17"/>
        <v>241997.89000000004</v>
      </c>
      <c r="D219" s="6">
        <f>SUM(D208:D218)</f>
        <v>176380.81699999998</v>
      </c>
      <c r="E219" s="6">
        <f>SUM(E208:E218)</f>
        <v>183379.49</v>
      </c>
      <c r="F219" s="6"/>
      <c r="G219" s="6">
        <f>SUM(G208:G218)</f>
        <v>358218</v>
      </c>
      <c r="H219" s="6">
        <f t="shared" si="16"/>
        <v>-6998.6730000000098</v>
      </c>
      <c r="K219" t="s">
        <v>121</v>
      </c>
    </row>
    <row r="220" spans="1:11" ht="16.5" thickBot="1" x14ac:dyDescent="0.3">
      <c r="A220" s="45"/>
      <c r="B220" s="45"/>
      <c r="C220" s="45"/>
      <c r="D220" s="6"/>
      <c r="E220" s="6"/>
      <c r="F220" s="6"/>
      <c r="G220" s="6"/>
      <c r="H220" s="6"/>
    </row>
    <row r="221" spans="1:11" ht="16.5" thickBot="1" x14ac:dyDescent="0.3">
      <c r="A221" s="46" t="s">
        <v>114</v>
      </c>
      <c r="B221" s="47"/>
      <c r="C221" s="47"/>
      <c r="D221" s="4"/>
      <c r="E221" s="4"/>
      <c r="F221" s="4"/>
      <c r="G221" s="4"/>
      <c r="H221" s="4"/>
    </row>
    <row r="222" spans="1:11" ht="15.75" x14ac:dyDescent="0.25">
      <c r="A222" s="12" t="s">
        <v>41</v>
      </c>
      <c r="B222" s="4">
        <f t="shared" ref="B222:C222" si="18">B193-B208</f>
        <v>-66344</v>
      </c>
      <c r="C222" s="4">
        <f t="shared" si="18"/>
        <v>-62552</v>
      </c>
      <c r="D222" s="4">
        <f t="shared" ref="D222:G230" si="19">D193-D208</f>
        <v>-54215</v>
      </c>
      <c r="E222" s="4">
        <f t="shared" si="19"/>
        <v>-49300.43</v>
      </c>
      <c r="F222" s="4"/>
      <c r="G222" s="4">
        <f t="shared" si="19"/>
        <v>-55468</v>
      </c>
      <c r="H222" s="4">
        <f t="shared" ref="H222:H232" si="20">E222-D222</f>
        <v>4914.57</v>
      </c>
    </row>
    <row r="223" spans="1:11" ht="15.75" x14ac:dyDescent="0.25">
      <c r="A223" s="12" t="s">
        <v>7</v>
      </c>
      <c r="B223" s="4">
        <f t="shared" ref="B223:C223" si="21">B194-B209</f>
        <v>-150</v>
      </c>
      <c r="C223" s="4">
        <f t="shared" si="21"/>
        <v>124.64999999999964</v>
      </c>
      <c r="D223" s="4">
        <f t="shared" si="19"/>
        <v>0</v>
      </c>
      <c r="E223" s="4">
        <f t="shared" si="19"/>
        <v>227.28999999999996</v>
      </c>
      <c r="F223" s="4"/>
      <c r="G223" s="4">
        <f t="shared" si="19"/>
        <v>56</v>
      </c>
      <c r="H223" s="4">
        <f t="shared" si="20"/>
        <v>227.28999999999996</v>
      </c>
    </row>
    <row r="224" spans="1:11" ht="15.75" x14ac:dyDescent="0.25">
      <c r="A224" s="12" t="s">
        <v>8</v>
      </c>
      <c r="B224" s="4">
        <f t="shared" ref="B224:C224" si="22">B195-B210</f>
        <v>-91900</v>
      </c>
      <c r="C224" s="4">
        <f t="shared" si="22"/>
        <v>-73331.53</v>
      </c>
      <c r="D224" s="4">
        <f t="shared" si="19"/>
        <v>-49900</v>
      </c>
      <c r="E224" s="4">
        <f t="shared" si="19"/>
        <v>-44886.559999999998</v>
      </c>
      <c r="F224" s="4"/>
      <c r="G224" s="4">
        <f t="shared" si="19"/>
        <v>-55785</v>
      </c>
      <c r="H224" s="4">
        <f t="shared" si="20"/>
        <v>5013.4400000000023</v>
      </c>
    </row>
    <row r="225" spans="1:11" ht="15.75" x14ac:dyDescent="0.25">
      <c r="A225" s="12" t="s">
        <v>14</v>
      </c>
      <c r="B225" s="4">
        <f t="shared" ref="B225:C225" si="23">B196-B211</f>
        <v>23200</v>
      </c>
      <c r="C225" s="4">
        <f t="shared" si="23"/>
        <v>20754.060000000001</v>
      </c>
      <c r="D225" s="4">
        <f t="shared" si="19"/>
        <v>6001.183</v>
      </c>
      <c r="E225" s="4">
        <f t="shared" si="19"/>
        <v>18680.490000000002</v>
      </c>
      <c r="F225" s="4"/>
      <c r="G225" s="4">
        <f t="shared" si="19"/>
        <v>11704</v>
      </c>
      <c r="H225" s="4">
        <f t="shared" si="20"/>
        <v>12679.307000000001</v>
      </c>
      <c r="K225" t="s">
        <v>135</v>
      </c>
    </row>
    <row r="226" spans="1:11" ht="15.75" x14ac:dyDescent="0.25">
      <c r="A226" s="12" t="s">
        <v>115</v>
      </c>
      <c r="B226" s="4">
        <f t="shared" ref="B226:C226" si="24">B197-B212</f>
        <v>38500</v>
      </c>
      <c r="C226" s="4">
        <f t="shared" si="24"/>
        <v>63708.55</v>
      </c>
      <c r="D226" s="4">
        <f t="shared" si="19"/>
        <v>51000</v>
      </c>
      <c r="E226" s="4">
        <f t="shared" si="19"/>
        <v>39888.859999999986</v>
      </c>
      <c r="F226" s="4"/>
      <c r="G226" s="4">
        <f t="shared" si="19"/>
        <v>41000</v>
      </c>
      <c r="H226" s="4">
        <f t="shared" si="20"/>
        <v>-11111.140000000014</v>
      </c>
    </row>
    <row r="227" spans="1:11" ht="15.75" x14ac:dyDescent="0.25">
      <c r="A227" s="12" t="s">
        <v>21</v>
      </c>
      <c r="B227" s="4">
        <f t="shared" ref="B227:C227" si="25">B198-B213</f>
        <v>-24000</v>
      </c>
      <c r="C227" s="4">
        <f t="shared" si="25"/>
        <v>-24350.559999999998</v>
      </c>
      <c r="D227" s="4">
        <f t="shared" si="19"/>
        <v>-15750</v>
      </c>
      <c r="E227" s="4">
        <f t="shared" si="19"/>
        <v>-6825.18</v>
      </c>
      <c r="F227" s="4"/>
      <c r="G227" s="4">
        <f t="shared" si="19"/>
        <v>-18500</v>
      </c>
      <c r="H227" s="4">
        <f t="shared" si="20"/>
        <v>8924.82</v>
      </c>
    </row>
    <row r="228" spans="1:11" ht="15.75" x14ac:dyDescent="0.25">
      <c r="A228" s="12" t="s">
        <v>111</v>
      </c>
      <c r="B228" s="4">
        <f t="shared" ref="B228:C228" si="26">B199-B214</f>
        <v>-45416</v>
      </c>
      <c r="C228" s="4">
        <f t="shared" si="26"/>
        <v>-32670.550000000003</v>
      </c>
      <c r="D228" s="4">
        <f t="shared" si="19"/>
        <v>-33750</v>
      </c>
      <c r="E228" s="4">
        <f t="shared" si="19"/>
        <v>-42000.84</v>
      </c>
      <c r="F228" s="4"/>
      <c r="G228" s="4">
        <f t="shared" si="19"/>
        <v>-42585</v>
      </c>
      <c r="H228" s="4">
        <f t="shared" si="20"/>
        <v>-8250.8399999999965</v>
      </c>
    </row>
    <row r="229" spans="1:11" ht="15.75" x14ac:dyDescent="0.25">
      <c r="A229" s="12" t="s">
        <v>16</v>
      </c>
      <c r="B229" s="4">
        <f t="shared" ref="B229:C229" si="27">B200-B215</f>
        <v>15100</v>
      </c>
      <c r="C229" s="4">
        <f t="shared" si="27"/>
        <v>15660</v>
      </c>
      <c r="D229" s="4">
        <f t="shared" si="19"/>
        <v>10025</v>
      </c>
      <c r="E229" s="4">
        <f t="shared" si="19"/>
        <v>14758.84</v>
      </c>
      <c r="F229" s="4"/>
      <c r="G229" s="4">
        <f t="shared" si="19"/>
        <v>10350</v>
      </c>
      <c r="H229" s="4">
        <f t="shared" si="20"/>
        <v>4733.84</v>
      </c>
    </row>
    <row r="230" spans="1:11" ht="15.75" x14ac:dyDescent="0.25">
      <c r="A230" s="12" t="s">
        <v>17</v>
      </c>
      <c r="B230" s="4">
        <f t="shared" ref="B230:C230" si="28">B201-B216</f>
        <v>37700</v>
      </c>
      <c r="C230" s="4">
        <f t="shared" si="28"/>
        <v>25951.11</v>
      </c>
      <c r="D230" s="4">
        <f t="shared" si="19"/>
        <v>20250</v>
      </c>
      <c r="E230" s="4">
        <f t="shared" si="19"/>
        <v>2649.36</v>
      </c>
      <c r="F230" s="4"/>
      <c r="G230" s="4">
        <f t="shared" si="19"/>
        <v>8900</v>
      </c>
      <c r="H230" s="4">
        <f t="shared" si="20"/>
        <v>-17600.64</v>
      </c>
    </row>
    <row r="231" spans="1:11" ht="15.75" x14ac:dyDescent="0.25">
      <c r="A231" s="12" t="s">
        <v>23</v>
      </c>
      <c r="B231" s="4">
        <f t="shared" ref="B231:C231" si="29">B202</f>
        <v>0</v>
      </c>
      <c r="C231" s="4">
        <f t="shared" si="29"/>
        <v>187186</v>
      </c>
      <c r="D231" s="4">
        <v>0</v>
      </c>
      <c r="E231" s="4">
        <f>E202</f>
        <v>55955</v>
      </c>
      <c r="F231" s="4"/>
      <c r="G231" s="4">
        <v>4000</v>
      </c>
      <c r="H231" s="4">
        <f>E231-D231</f>
        <v>55955</v>
      </c>
    </row>
    <row r="232" spans="1:11" ht="15.75" x14ac:dyDescent="0.25">
      <c r="A232" s="12" t="s">
        <v>24</v>
      </c>
      <c r="B232" s="4">
        <f t="shared" ref="B232:C232" si="30">B203-B217</f>
        <v>35100</v>
      </c>
      <c r="C232" s="4">
        <f t="shared" si="30"/>
        <v>31155.469999999994</v>
      </c>
      <c r="D232" s="4">
        <f>D203-D217</f>
        <v>20000</v>
      </c>
      <c r="E232" s="4">
        <f>E203-E217</f>
        <v>11938.84</v>
      </c>
      <c r="F232" s="4"/>
      <c r="G232" s="4">
        <f>G203-G217</f>
        <v>15000</v>
      </c>
      <c r="H232" s="4">
        <f t="shared" si="20"/>
        <v>-8061.16</v>
      </c>
    </row>
    <row r="233" spans="1:11" ht="15.75" x14ac:dyDescent="0.25">
      <c r="A233" s="12" t="s">
        <v>33</v>
      </c>
      <c r="B233" s="5">
        <f t="shared" ref="B233:C233" si="31">B204-B218</f>
        <v>67460</v>
      </c>
      <c r="C233" s="5">
        <f t="shared" si="31"/>
        <v>-557.64000000000033</v>
      </c>
      <c r="D233" s="5">
        <f>D204-D218</f>
        <v>0</v>
      </c>
      <c r="E233" s="5">
        <f>E204-E218</f>
        <v>-127.94999999999999</v>
      </c>
      <c r="F233" s="5"/>
      <c r="G233" s="5">
        <f>G204-G218</f>
        <v>83900</v>
      </c>
      <c r="H233" s="5">
        <f>E233-D233</f>
        <v>-127.94999999999999</v>
      </c>
    </row>
    <row r="234" spans="1:11" ht="15.75" x14ac:dyDescent="0.25">
      <c r="A234" s="24" t="s">
        <v>116</v>
      </c>
      <c r="B234" s="6">
        <f t="shared" ref="B234:C234" si="32">SUM(B222:B233)</f>
        <v>-10750</v>
      </c>
      <c r="C234" s="6">
        <f t="shared" si="32"/>
        <v>151077.55999999997</v>
      </c>
      <c r="D234" s="6">
        <f>SUM(D222:D233)</f>
        <v>-46338.816999999995</v>
      </c>
      <c r="E234" s="6">
        <f>SUM(E222:E233)</f>
        <v>957.72000000000185</v>
      </c>
      <c r="F234" s="6"/>
      <c r="G234" s="6">
        <f>SUM(G222:G233)</f>
        <v>2572</v>
      </c>
      <c r="H234" s="6">
        <f>SUM(H222:H233)</f>
        <v>47296.536999999997</v>
      </c>
    </row>
    <row r="235" spans="1:11" ht="15.75" x14ac:dyDescent="0.25">
      <c r="A235" s="48" t="s">
        <v>137</v>
      </c>
      <c r="B235" s="12"/>
      <c r="C235" s="12"/>
      <c r="D235" s="49"/>
      <c r="E235" s="49"/>
      <c r="F235" s="49"/>
      <c r="G235" s="49"/>
      <c r="H235" s="49"/>
    </row>
    <row r="236" spans="1:11" ht="15.75" x14ac:dyDescent="0.25">
      <c r="A236" s="12"/>
      <c r="B236" s="12"/>
      <c r="C236" s="12"/>
      <c r="D236" s="49"/>
      <c r="E236" s="49"/>
      <c r="F236" s="49"/>
      <c r="G236" s="49"/>
      <c r="H236" s="49"/>
    </row>
    <row r="237" spans="1:11" ht="15.75" x14ac:dyDescent="0.25">
      <c r="A237" s="12"/>
      <c r="B237" s="12"/>
      <c r="C237" s="12"/>
      <c r="D237" s="49"/>
      <c r="E237" s="49"/>
      <c r="F237" s="49"/>
      <c r="G237" s="49"/>
      <c r="H237" s="49"/>
    </row>
    <row r="238" spans="1:11" ht="15.75" x14ac:dyDescent="0.25">
      <c r="A238" s="12"/>
      <c r="B238" s="12"/>
      <c r="C238" s="12"/>
      <c r="D238" s="49"/>
      <c r="E238" s="49"/>
      <c r="F238" s="49"/>
      <c r="G238" s="49"/>
      <c r="H238" s="49"/>
    </row>
    <row r="239" spans="1:11" ht="15.75" x14ac:dyDescent="0.25">
      <c r="A239" s="12"/>
      <c r="B239" s="12"/>
      <c r="C239" s="12"/>
      <c r="D239" s="49"/>
      <c r="E239" s="49"/>
      <c r="F239" s="49"/>
      <c r="G239" s="49"/>
      <c r="H239" s="49"/>
    </row>
    <row r="240" spans="1:11" ht="15.75" x14ac:dyDescent="0.25">
      <c r="A240" s="12"/>
      <c r="B240" s="12"/>
      <c r="C240" s="12"/>
      <c r="D240" s="49"/>
      <c r="E240" s="49"/>
      <c r="F240" s="49"/>
      <c r="G240" s="49"/>
      <c r="H240" s="49"/>
    </row>
  </sheetData>
  <mergeCells count="4">
    <mergeCell ref="A48:H48"/>
    <mergeCell ref="A95:H95"/>
    <mergeCell ref="A1:H1"/>
    <mergeCell ref="A142:H142"/>
  </mergeCells>
  <printOptions gridLines="1"/>
  <pageMargins left="0.2" right="0.2" top="0.5" bottom="0.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Stemmer</dc:creator>
  <cp:lastModifiedBy>Barbara Stemmer</cp:lastModifiedBy>
  <cp:lastPrinted>2021-09-08T15:53:41Z</cp:lastPrinted>
  <dcterms:created xsi:type="dcterms:W3CDTF">2021-04-03T22:46:38Z</dcterms:created>
  <dcterms:modified xsi:type="dcterms:W3CDTF">2021-09-08T15:53:50Z</dcterms:modified>
</cp:coreProperties>
</file>